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66925"/>
  <mc:AlternateContent xmlns:mc="http://schemas.openxmlformats.org/markup-compatibility/2006">
    <mc:Choice Requires="x15">
      <x15ac:absPath xmlns:x15ac="http://schemas.microsoft.com/office/spreadsheetml/2010/11/ac" url="C:\Users\dkoonce\Desktop\"/>
    </mc:Choice>
  </mc:AlternateContent>
  <xr:revisionPtr revIDLastSave="0" documentId="8_{0E8CAFE0-4331-4D49-AF3D-C9D758796F32}" xr6:coauthVersionLast="36" xr6:coauthVersionMax="36" xr10:uidLastSave="{00000000-0000-0000-0000-000000000000}"/>
  <bookViews>
    <workbookView xWindow="0" yWindow="0" windowWidth="28800" windowHeight="11925" tabRatio="934" xr2:uid="{5FB309F1-118B-4514-8FE1-25A01A609E8C}"/>
  </bookViews>
  <sheets>
    <sheet name="Cover" sheetId="19" r:id="rId1"/>
    <sheet name="Read_Me" sheetId="22" r:id="rId2"/>
    <sheet name="CIS Controls Resources" sheetId="23" r:id="rId3"/>
    <sheet name="Risk Register Controls v7.1-IG1" sheetId="3" r:id="rId4"/>
    <sheet name="Risk Register Controls v8 - IG1" sheetId="8" r:id="rId5"/>
    <sheet name="Legend" sheetId="10" r:id="rId6"/>
    <sheet name="Lookup Tables" sheetId="6" r:id="rId7"/>
    <sheet name="CIS CSAT Pro" sheetId="15" r:id="rId8"/>
    <sheet name="CIS-Hosted CSAT" sheetId="14" r:id="rId9"/>
    <sheet name="Risk Register 7.1 - EXAMPLE" sheetId="11" r:id="rId10"/>
    <sheet name="CIS CSAT Pro - EXAMPLE" sheetId="13" r:id="rId11"/>
    <sheet name="CIS-Hosted CSAT - EXAMPLE" sheetId="18" r:id="rId12"/>
  </sheets>
  <externalReferences>
    <externalReference r:id="rId13"/>
    <externalReference r:id="rId14"/>
    <externalReference r:id="rId15"/>
  </externalReferences>
  <definedNames>
    <definedName name="_Hlk82606169" localSheetId="7">'CIS CSAT Pro'!$L$16</definedName>
    <definedName name="AcceptableRisk">'[1]2. Enterprise Parameters'!$E$35</definedName>
    <definedName name="Asset_Class" localSheetId="9">tblImpactIndex21[Asset Class]</definedName>
    <definedName name="Asset_Class" localSheetId="3">tblImpactIndex[Asset Class]</definedName>
    <definedName name="Asset_Class" localSheetId="4">tblImpactIndex17[Asset Class]</definedName>
    <definedName name="Asset_Classes">[1]!Table10[[#Data],[Asset Classes]]</definedName>
    <definedName name="Attack_Type_Name">#REF!</definedName>
    <definedName name="Industry" localSheetId="7">[2]!tblVCDBIndex[Asset Class]</definedName>
    <definedName name="Industry" localSheetId="10">[2]!tblVCDBIndex[Asset Class]</definedName>
    <definedName name="Industry" localSheetId="8">[2]!tblVCDBIndex[Asset Class]</definedName>
    <definedName name="Industry" localSheetId="11">[2]!tblVCDBIndex[Asset Class]</definedName>
    <definedName name="Industry" localSheetId="0">[3]!tblVCDBIndex[Asset Class]</definedName>
    <definedName name="Industry" localSheetId="9">tblVCDBIndex[Asset Class]</definedName>
    <definedName name="Industry" localSheetId="4">tblVCDBIndex[Asset Class]</definedName>
    <definedName name="Industry">tblVCDBIndex[Asset Class]</definedName>
    <definedName name="Industry_2" localSheetId="7">tblVCDBIndex[Asset Class]</definedName>
    <definedName name="Industry_2" localSheetId="11">tblVCDBIndex[Asset Class]</definedName>
    <definedName name="Industry_2" localSheetId="0">[3]!tblVCDBIndex[Asset Class]</definedName>
    <definedName name="Industry_2">tblVCDBIndex[Asset Class]</definedName>
    <definedName name="Maturity_Score" localSheetId="7">[2]!tblMaturityScores[Maturity Score]</definedName>
    <definedName name="Maturity_Score" localSheetId="10">[2]!tblMaturityScores[Maturity Score]</definedName>
    <definedName name="Maturity_Score" localSheetId="8">[2]!tblMaturityScores[Maturity Score]</definedName>
    <definedName name="Maturity_Score" localSheetId="11">[2]!tblMaturityScores[Maturity Score]</definedName>
    <definedName name="Maturity_Score" localSheetId="0">[3]!tblMaturityScores[Maturity Scores]</definedName>
    <definedName name="Maturity_Score" localSheetId="9">tblMaturityScores[Maturity Scores]</definedName>
    <definedName name="Maturity_Score" localSheetId="4">tblMaturityScores[Maturity Scores]</definedName>
    <definedName name="Maturity_Score">tblMaturityScores[Maturity Scores]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5" l="1"/>
  <c r="G14" i="18" l="1"/>
  <c r="I57" i="13" l="1"/>
  <c r="J57" i="13" s="1"/>
  <c r="I56" i="13"/>
  <c r="J56" i="13" s="1"/>
  <c r="I55" i="13"/>
  <c r="J55" i="13" s="1"/>
  <c r="I54" i="13"/>
  <c r="J54" i="13" s="1"/>
  <c r="V69" i="18"/>
  <c r="U69" i="18"/>
  <c r="T69" i="18"/>
  <c r="S69" i="18"/>
  <c r="V68" i="18"/>
  <c r="U68" i="18"/>
  <c r="T68" i="18"/>
  <c r="S68" i="18"/>
  <c r="V67" i="18"/>
  <c r="U67" i="18"/>
  <c r="T67" i="18"/>
  <c r="S67" i="18"/>
  <c r="V66" i="18"/>
  <c r="U66" i="18"/>
  <c r="T66" i="18"/>
  <c r="S66" i="18"/>
  <c r="V65" i="18"/>
  <c r="U65" i="18"/>
  <c r="T65" i="18"/>
  <c r="S65" i="18"/>
  <c r="V64" i="18"/>
  <c r="U64" i="18"/>
  <c r="T64" i="18"/>
  <c r="S64" i="18"/>
  <c r="V63" i="18"/>
  <c r="U63" i="18"/>
  <c r="T63" i="18"/>
  <c r="S63" i="18"/>
  <c r="V62" i="18"/>
  <c r="U62" i="18"/>
  <c r="T62" i="18"/>
  <c r="S62" i="18"/>
  <c r="V61" i="18"/>
  <c r="U61" i="18"/>
  <c r="T61" i="18"/>
  <c r="S61" i="18"/>
  <c r="V60" i="18"/>
  <c r="U60" i="18"/>
  <c r="T60" i="18"/>
  <c r="S60" i="18"/>
  <c r="V59" i="18"/>
  <c r="U59" i="18"/>
  <c r="T59" i="18"/>
  <c r="S59" i="18"/>
  <c r="V58" i="18"/>
  <c r="U58" i="18"/>
  <c r="T58" i="18"/>
  <c r="S58" i="18"/>
  <c r="V57" i="18"/>
  <c r="U57" i="18"/>
  <c r="T57" i="18"/>
  <c r="S57" i="18"/>
  <c r="V56" i="18"/>
  <c r="U56" i="18"/>
  <c r="T56" i="18"/>
  <c r="S56" i="18"/>
  <c r="J56" i="18"/>
  <c r="I56" i="18"/>
  <c r="H56" i="18"/>
  <c r="G56" i="18"/>
  <c r="V55" i="18"/>
  <c r="U55" i="18"/>
  <c r="T55" i="18"/>
  <c r="S55" i="18"/>
  <c r="J55" i="18"/>
  <c r="I55" i="18"/>
  <c r="H55" i="18"/>
  <c r="G55" i="18"/>
  <c r="V54" i="18"/>
  <c r="U54" i="18"/>
  <c r="T54" i="18"/>
  <c r="S54" i="18"/>
  <c r="J54" i="18"/>
  <c r="I54" i="18"/>
  <c r="H54" i="18"/>
  <c r="G54" i="18"/>
  <c r="V53" i="18"/>
  <c r="U53" i="18"/>
  <c r="T53" i="18"/>
  <c r="S53" i="18"/>
  <c r="J53" i="18"/>
  <c r="I53" i="18"/>
  <c r="H53" i="18"/>
  <c r="G53" i="18"/>
  <c r="V52" i="18"/>
  <c r="U52" i="18"/>
  <c r="T52" i="18"/>
  <c r="S52" i="18"/>
  <c r="J52" i="18"/>
  <c r="I52" i="18"/>
  <c r="H52" i="18"/>
  <c r="G52" i="18"/>
  <c r="V51" i="18"/>
  <c r="U51" i="18"/>
  <c r="T51" i="18"/>
  <c r="S51" i="18"/>
  <c r="J51" i="18"/>
  <c r="I51" i="18"/>
  <c r="H51" i="18"/>
  <c r="G51" i="18"/>
  <c r="V50" i="18"/>
  <c r="U50" i="18"/>
  <c r="T50" i="18"/>
  <c r="S50" i="18"/>
  <c r="J50" i="18"/>
  <c r="I50" i="18"/>
  <c r="H50" i="18"/>
  <c r="G50" i="18"/>
  <c r="V49" i="18"/>
  <c r="U49" i="18"/>
  <c r="T49" i="18"/>
  <c r="S49" i="18"/>
  <c r="J49" i="18"/>
  <c r="I49" i="18"/>
  <c r="H49" i="18"/>
  <c r="G49" i="18"/>
  <c r="V48" i="18"/>
  <c r="U48" i="18"/>
  <c r="T48" i="18"/>
  <c r="S48" i="18"/>
  <c r="J48" i="18"/>
  <c r="I48" i="18"/>
  <c r="H48" i="18"/>
  <c r="G48" i="18"/>
  <c r="V47" i="18"/>
  <c r="U47" i="18"/>
  <c r="T47" i="18"/>
  <c r="S47" i="18"/>
  <c r="J47" i="18"/>
  <c r="I47" i="18"/>
  <c r="H47" i="18"/>
  <c r="G47" i="18"/>
  <c r="V46" i="18"/>
  <c r="U46" i="18"/>
  <c r="T46" i="18"/>
  <c r="S46" i="18"/>
  <c r="J46" i="18"/>
  <c r="I46" i="18"/>
  <c r="H46" i="18"/>
  <c r="G46" i="18"/>
  <c r="V45" i="18"/>
  <c r="U45" i="18"/>
  <c r="T45" i="18"/>
  <c r="S45" i="18"/>
  <c r="J45" i="18"/>
  <c r="I45" i="18"/>
  <c r="H45" i="18"/>
  <c r="G45" i="18"/>
  <c r="V44" i="18"/>
  <c r="U44" i="18"/>
  <c r="T44" i="18"/>
  <c r="S44" i="18"/>
  <c r="J44" i="18"/>
  <c r="I44" i="18"/>
  <c r="H44" i="18"/>
  <c r="G44" i="18"/>
  <c r="V43" i="18"/>
  <c r="U43" i="18"/>
  <c r="T43" i="18"/>
  <c r="S43" i="18"/>
  <c r="J43" i="18"/>
  <c r="I43" i="18"/>
  <c r="H43" i="18"/>
  <c r="G43" i="18"/>
  <c r="V42" i="18"/>
  <c r="U42" i="18"/>
  <c r="T42" i="18"/>
  <c r="S42" i="18"/>
  <c r="J42" i="18"/>
  <c r="I42" i="18"/>
  <c r="H42" i="18"/>
  <c r="G42" i="18"/>
  <c r="V41" i="18"/>
  <c r="U41" i="18"/>
  <c r="T41" i="18"/>
  <c r="S41" i="18"/>
  <c r="J41" i="18"/>
  <c r="I41" i="18"/>
  <c r="H41" i="18"/>
  <c r="G41" i="18"/>
  <c r="V40" i="18"/>
  <c r="U40" i="18"/>
  <c r="T40" i="18"/>
  <c r="S40" i="18"/>
  <c r="J40" i="18"/>
  <c r="I40" i="18"/>
  <c r="H40" i="18"/>
  <c r="G40" i="18"/>
  <c r="V39" i="18"/>
  <c r="U39" i="18"/>
  <c r="T39" i="18"/>
  <c r="S39" i="18"/>
  <c r="J39" i="18"/>
  <c r="I39" i="18"/>
  <c r="H39" i="18"/>
  <c r="G39" i="18"/>
  <c r="V38" i="18"/>
  <c r="U38" i="18"/>
  <c r="T38" i="18"/>
  <c r="S38" i="18"/>
  <c r="J38" i="18"/>
  <c r="I38" i="18"/>
  <c r="H38" i="18"/>
  <c r="G38" i="18"/>
  <c r="V37" i="18"/>
  <c r="U37" i="18"/>
  <c r="T37" i="18"/>
  <c r="S37" i="18"/>
  <c r="J37" i="18"/>
  <c r="I37" i="18"/>
  <c r="H37" i="18"/>
  <c r="G37" i="18"/>
  <c r="V36" i="18"/>
  <c r="U36" i="18"/>
  <c r="T36" i="18"/>
  <c r="S36" i="18"/>
  <c r="J36" i="18"/>
  <c r="I36" i="18"/>
  <c r="H36" i="18"/>
  <c r="G36" i="18"/>
  <c r="V35" i="18"/>
  <c r="U35" i="18"/>
  <c r="T35" i="18"/>
  <c r="S35" i="18"/>
  <c r="J35" i="18"/>
  <c r="I35" i="18"/>
  <c r="H35" i="18"/>
  <c r="G35" i="18"/>
  <c r="V34" i="18"/>
  <c r="U34" i="18"/>
  <c r="T34" i="18"/>
  <c r="S34" i="18"/>
  <c r="J34" i="18"/>
  <c r="I34" i="18"/>
  <c r="H34" i="18"/>
  <c r="G34" i="18"/>
  <c r="V33" i="18"/>
  <c r="U33" i="18"/>
  <c r="T33" i="18"/>
  <c r="S33" i="18"/>
  <c r="J33" i="18"/>
  <c r="I33" i="18"/>
  <c r="H33" i="18"/>
  <c r="G33" i="18"/>
  <c r="V32" i="18"/>
  <c r="U32" i="18"/>
  <c r="T32" i="18"/>
  <c r="S32" i="18"/>
  <c r="J32" i="18"/>
  <c r="I32" i="18"/>
  <c r="H32" i="18"/>
  <c r="G32" i="18"/>
  <c r="V31" i="18"/>
  <c r="U31" i="18"/>
  <c r="T31" i="18"/>
  <c r="S31" i="18"/>
  <c r="J31" i="18"/>
  <c r="I31" i="18"/>
  <c r="H31" i="18"/>
  <c r="G31" i="18"/>
  <c r="V30" i="18"/>
  <c r="U30" i="18"/>
  <c r="T30" i="18"/>
  <c r="S30" i="18"/>
  <c r="J30" i="18"/>
  <c r="I30" i="18"/>
  <c r="H30" i="18"/>
  <c r="G30" i="18"/>
  <c r="V29" i="18"/>
  <c r="U29" i="18"/>
  <c r="T29" i="18"/>
  <c r="S29" i="18"/>
  <c r="J29" i="18"/>
  <c r="I29" i="18"/>
  <c r="H29" i="18"/>
  <c r="G29" i="18"/>
  <c r="V28" i="18"/>
  <c r="U28" i="18"/>
  <c r="T28" i="18"/>
  <c r="S28" i="18"/>
  <c r="J28" i="18"/>
  <c r="I28" i="18"/>
  <c r="H28" i="18"/>
  <c r="G28" i="18"/>
  <c r="V27" i="18"/>
  <c r="U27" i="18"/>
  <c r="T27" i="18"/>
  <c r="S27" i="18"/>
  <c r="J27" i="18"/>
  <c r="I27" i="18"/>
  <c r="H27" i="18"/>
  <c r="G27" i="18"/>
  <c r="V26" i="18"/>
  <c r="U26" i="18"/>
  <c r="T26" i="18"/>
  <c r="S26" i="18"/>
  <c r="J26" i="18"/>
  <c r="I26" i="18"/>
  <c r="H26" i="18"/>
  <c r="G26" i="18"/>
  <c r="V25" i="18"/>
  <c r="U25" i="18"/>
  <c r="T25" i="18"/>
  <c r="S25" i="18"/>
  <c r="J25" i="18"/>
  <c r="I25" i="18"/>
  <c r="H25" i="18"/>
  <c r="G25" i="18"/>
  <c r="V24" i="18"/>
  <c r="U24" i="18"/>
  <c r="T24" i="18"/>
  <c r="S24" i="18"/>
  <c r="J24" i="18"/>
  <c r="I24" i="18"/>
  <c r="H24" i="18"/>
  <c r="G24" i="18"/>
  <c r="V23" i="18"/>
  <c r="U23" i="18"/>
  <c r="T23" i="18"/>
  <c r="S23" i="18"/>
  <c r="J23" i="18"/>
  <c r="I23" i="18"/>
  <c r="H23" i="18"/>
  <c r="G23" i="18"/>
  <c r="V22" i="18"/>
  <c r="U22" i="18"/>
  <c r="T22" i="18"/>
  <c r="S22" i="18"/>
  <c r="J22" i="18"/>
  <c r="I22" i="18"/>
  <c r="H22" i="18"/>
  <c r="G22" i="18"/>
  <c r="V21" i="18"/>
  <c r="U21" i="18"/>
  <c r="T21" i="18"/>
  <c r="S21" i="18"/>
  <c r="J21" i="18"/>
  <c r="I21" i="18"/>
  <c r="H21" i="18"/>
  <c r="G21" i="18"/>
  <c r="V20" i="18"/>
  <c r="U20" i="18"/>
  <c r="T20" i="18"/>
  <c r="S20" i="18"/>
  <c r="J20" i="18"/>
  <c r="I20" i="18"/>
  <c r="H20" i="18"/>
  <c r="G20" i="18"/>
  <c r="V19" i="18"/>
  <c r="U19" i="18"/>
  <c r="T19" i="18"/>
  <c r="S19" i="18"/>
  <c r="J19" i="18"/>
  <c r="I19" i="18"/>
  <c r="H19" i="18"/>
  <c r="G19" i="18"/>
  <c r="V18" i="18"/>
  <c r="U18" i="18"/>
  <c r="T18" i="18"/>
  <c r="S18" i="18"/>
  <c r="J18" i="18"/>
  <c r="I18" i="18"/>
  <c r="H18" i="18"/>
  <c r="G18" i="18"/>
  <c r="V17" i="18"/>
  <c r="U17" i="18"/>
  <c r="T17" i="18"/>
  <c r="S17" i="18"/>
  <c r="J17" i="18"/>
  <c r="I17" i="18"/>
  <c r="H17" i="18"/>
  <c r="G17" i="18"/>
  <c r="V16" i="18"/>
  <c r="U16" i="18"/>
  <c r="T16" i="18"/>
  <c r="S16" i="18"/>
  <c r="J16" i="18"/>
  <c r="I16" i="18"/>
  <c r="H16" i="18"/>
  <c r="G16" i="18"/>
  <c r="V15" i="18"/>
  <c r="U15" i="18"/>
  <c r="T15" i="18"/>
  <c r="S15" i="18"/>
  <c r="J15" i="18"/>
  <c r="I15" i="18"/>
  <c r="H15" i="18"/>
  <c r="G15" i="18"/>
  <c r="V14" i="18"/>
  <c r="U14" i="18"/>
  <c r="T14" i="18"/>
  <c r="S14" i="18"/>
  <c r="J14" i="18"/>
  <c r="I14" i="18"/>
  <c r="H14" i="18"/>
  <c r="W15" i="18" l="1"/>
  <c r="K17" i="18"/>
  <c r="K23" i="18"/>
  <c r="W24" i="18"/>
  <c r="K26" i="18"/>
  <c r="W27" i="18"/>
  <c r="X27" i="18" s="1"/>
  <c r="W30" i="18"/>
  <c r="W33" i="18"/>
  <c r="X33" i="18" s="1"/>
  <c r="K35" i="18"/>
  <c r="W36" i="18"/>
  <c r="K38" i="18"/>
  <c r="L38" i="18" s="1"/>
  <c r="W39" i="18"/>
  <c r="X39" i="18" s="1"/>
  <c r="K41" i="18"/>
  <c r="W42" i="18"/>
  <c r="W45" i="18"/>
  <c r="W48" i="18"/>
  <c r="K50" i="18"/>
  <c r="W51" i="18"/>
  <c r="K53" i="18"/>
  <c r="W54" i="18"/>
  <c r="X54" i="18" s="1"/>
  <c r="W58" i="18"/>
  <c r="W18" i="18"/>
  <c r="W21" i="18"/>
  <c r="X21" i="18" s="1"/>
  <c r="K29" i="18"/>
  <c r="L29" i="18" s="1"/>
  <c r="K14" i="18"/>
  <c r="L14" i="18" s="1"/>
  <c r="W17" i="18"/>
  <c r="X17" i="18" s="1"/>
  <c r="K22" i="18"/>
  <c r="L22" i="18" s="1"/>
  <c r="K25" i="18"/>
  <c r="W29" i="18"/>
  <c r="X29" i="18" s="1"/>
  <c r="K34" i="18"/>
  <c r="L34" i="18" s="1"/>
  <c r="K37" i="18"/>
  <c r="K46" i="18"/>
  <c r="L46" i="18" s="1"/>
  <c r="K49" i="18"/>
  <c r="L49" i="18" s="1"/>
  <c r="W16" i="18"/>
  <c r="W19" i="18"/>
  <c r="X19" i="18" s="1"/>
  <c r="K24" i="18"/>
  <c r="L24" i="18" s="1"/>
  <c r="W25" i="18"/>
  <c r="W28" i="18"/>
  <c r="X28" i="18" s="1"/>
  <c r="K30" i="18"/>
  <c r="L30" i="18" s="1"/>
  <c r="W31" i="18"/>
  <c r="X31" i="18" s="1"/>
  <c r="K33" i="18"/>
  <c r="L33" i="18" s="1"/>
  <c r="W34" i="18"/>
  <c r="X34" i="18" s="1"/>
  <c r="K36" i="18"/>
  <c r="W37" i="18"/>
  <c r="X37" i="18" s="1"/>
  <c r="W40" i="18"/>
  <c r="X40" i="18" s="1"/>
  <c r="K42" i="18"/>
  <c r="L42" i="18" s="1"/>
  <c r="W43" i="18"/>
  <c r="X43" i="18" s="1"/>
  <c r="K45" i="18"/>
  <c r="L45" i="18" s="1"/>
  <c r="K48" i="18"/>
  <c r="L48" i="18" s="1"/>
  <c r="W49" i="18"/>
  <c r="X49" i="18" s="1"/>
  <c r="W52" i="18"/>
  <c r="X52" i="18" s="1"/>
  <c r="K54" i="18"/>
  <c r="W55" i="18"/>
  <c r="X55" i="18" s="1"/>
  <c r="W57" i="18"/>
  <c r="X57" i="18" s="1"/>
  <c r="K18" i="18"/>
  <c r="W22" i="18"/>
  <c r="X22" i="18" s="1"/>
  <c r="K21" i="18"/>
  <c r="L21" i="18" s="1"/>
  <c r="W14" i="18"/>
  <c r="K16" i="18"/>
  <c r="L16" i="18" s="1"/>
  <c r="K19" i="18"/>
  <c r="L19" i="18" s="1"/>
  <c r="W20" i="18"/>
  <c r="X20" i="18" s="1"/>
  <c r="W26" i="18"/>
  <c r="X26" i="18" s="1"/>
  <c r="K28" i="18"/>
  <c r="L28" i="18" s="1"/>
  <c r="K31" i="18"/>
  <c r="L31" i="18" s="1"/>
  <c r="W32" i="18"/>
  <c r="X32" i="18" s="1"/>
  <c r="W38" i="18"/>
  <c r="K40" i="18"/>
  <c r="W41" i="18"/>
  <c r="X41" i="18" s="1"/>
  <c r="K43" i="18"/>
  <c r="L43" i="18" s="1"/>
  <c r="W44" i="18"/>
  <c r="X44" i="18" s="1"/>
  <c r="W47" i="18"/>
  <c r="X47" i="18" s="1"/>
  <c r="W50" i="18"/>
  <c r="X50" i="18" s="1"/>
  <c r="K52" i="18"/>
  <c r="L52" i="18" s="1"/>
  <c r="W53" i="18"/>
  <c r="X53" i="18" s="1"/>
  <c r="K55" i="18"/>
  <c r="L55" i="18" s="1"/>
  <c r="W56" i="18"/>
  <c r="W59" i="18"/>
  <c r="X59" i="18" s="1"/>
  <c r="W62" i="18"/>
  <c r="X62" i="18" s="1"/>
  <c r="W65" i="18"/>
  <c r="W68" i="18"/>
  <c r="X68" i="18" s="1"/>
  <c r="W46" i="18"/>
  <c r="X46" i="18" s="1"/>
  <c r="W60" i="18"/>
  <c r="X60" i="18" s="1"/>
  <c r="W63" i="18"/>
  <c r="X63" i="18" s="1"/>
  <c r="W66" i="18"/>
  <c r="X66" i="18" s="1"/>
  <c r="W69" i="18"/>
  <c r="X69" i="18" s="1"/>
  <c r="W64" i="18"/>
  <c r="X64" i="18" s="1"/>
  <c r="W67" i="18"/>
  <c r="X67" i="18" s="1"/>
  <c r="L41" i="18"/>
  <c r="L53" i="18"/>
  <c r="K47" i="18"/>
  <c r="L47" i="18" s="1"/>
  <c r="L35" i="18"/>
  <c r="L23" i="18"/>
  <c r="X45" i="18"/>
  <c r="X38" i="18"/>
  <c r="X56" i="18"/>
  <c r="K56" i="18"/>
  <c r="L56" i="18" s="1"/>
  <c r="K44" i="18"/>
  <c r="L44" i="18" s="1"/>
  <c r="K32" i="18"/>
  <c r="L32" i="18" s="1"/>
  <c r="K20" i="18"/>
  <c r="L20" i="18" s="1"/>
  <c r="W61" i="18"/>
  <c r="X61" i="18" s="1"/>
  <c r="X25" i="18"/>
  <c r="K51" i="18"/>
  <c r="L51" i="18" s="1"/>
  <c r="K39" i="18"/>
  <c r="L39" i="18" s="1"/>
  <c r="K27" i="18"/>
  <c r="L27" i="18" s="1"/>
  <c r="K15" i="18"/>
  <c r="L15" i="18" s="1"/>
  <c r="W35" i="18"/>
  <c r="X35" i="18" s="1"/>
  <c r="W23" i="18"/>
  <c r="X23" i="18" s="1"/>
  <c r="X16" i="18"/>
  <c r="X18" i="18"/>
  <c r="X24" i="18"/>
  <c r="X30" i="18"/>
  <c r="X36" i="18"/>
  <c r="X51" i="18"/>
  <c r="X15" i="18"/>
  <c r="X42" i="18"/>
  <c r="X48" i="18"/>
  <c r="X58" i="18"/>
  <c r="X14" i="18"/>
  <c r="L26" i="18"/>
  <c r="L50" i="18"/>
  <c r="L18" i="18"/>
  <c r="L36" i="18"/>
  <c r="L54" i="18"/>
  <c r="L17" i="18"/>
  <c r="X65" i="18"/>
  <c r="L25" i="18"/>
  <c r="L37" i="18"/>
  <c r="L40" i="18"/>
  <c r="I60" i="15" l="1"/>
  <c r="J60" i="15" s="1"/>
  <c r="I59" i="15"/>
  <c r="J59" i="15" s="1"/>
  <c r="I58" i="15"/>
  <c r="J58" i="15" s="1"/>
  <c r="I57" i="15"/>
  <c r="J57" i="15" s="1"/>
  <c r="I56" i="15"/>
  <c r="J56" i="15" s="1"/>
  <c r="I55" i="15"/>
  <c r="J55" i="15" s="1"/>
  <c r="I54" i="15"/>
  <c r="J54" i="15" s="1"/>
  <c r="I53" i="15"/>
  <c r="J53" i="15" s="1"/>
  <c r="I52" i="15"/>
  <c r="J52" i="15" s="1"/>
  <c r="I51" i="15"/>
  <c r="J51" i="15" s="1"/>
  <c r="I50" i="15"/>
  <c r="J50" i="15" s="1"/>
  <c r="I49" i="15"/>
  <c r="J49" i="15" s="1"/>
  <c r="I48" i="15"/>
  <c r="J48" i="15" s="1"/>
  <c r="I47" i="15"/>
  <c r="J47" i="15" s="1"/>
  <c r="D47" i="15"/>
  <c r="E47" i="15" s="1"/>
  <c r="I46" i="15"/>
  <c r="J46" i="15" s="1"/>
  <c r="D46" i="15"/>
  <c r="E46" i="15" s="1"/>
  <c r="I45" i="15"/>
  <c r="J45" i="15" s="1"/>
  <c r="D45" i="15"/>
  <c r="E45" i="15" s="1"/>
  <c r="I44" i="15"/>
  <c r="J44" i="15" s="1"/>
  <c r="D44" i="15"/>
  <c r="E44" i="15" s="1"/>
  <c r="I43" i="15"/>
  <c r="J43" i="15" s="1"/>
  <c r="D43" i="15"/>
  <c r="E43" i="15" s="1"/>
  <c r="I42" i="15"/>
  <c r="J42" i="15" s="1"/>
  <c r="D42" i="15"/>
  <c r="E42" i="15" s="1"/>
  <c r="I41" i="15"/>
  <c r="J41" i="15" s="1"/>
  <c r="D41" i="15"/>
  <c r="E41" i="15" s="1"/>
  <c r="I40" i="15"/>
  <c r="J40" i="15" s="1"/>
  <c r="D40" i="15"/>
  <c r="E40" i="15" s="1"/>
  <c r="I39" i="15"/>
  <c r="J39" i="15" s="1"/>
  <c r="D39" i="15"/>
  <c r="E39" i="15" s="1"/>
  <c r="I38" i="15"/>
  <c r="J38" i="15" s="1"/>
  <c r="D38" i="15"/>
  <c r="E38" i="15" s="1"/>
  <c r="I37" i="15"/>
  <c r="J37" i="15" s="1"/>
  <c r="D37" i="15"/>
  <c r="E37" i="15" s="1"/>
  <c r="I36" i="15"/>
  <c r="J36" i="15" s="1"/>
  <c r="D36" i="15"/>
  <c r="E36" i="15" s="1"/>
  <c r="I35" i="15"/>
  <c r="J35" i="15" s="1"/>
  <c r="D35" i="15"/>
  <c r="E35" i="15" s="1"/>
  <c r="I34" i="15"/>
  <c r="J34" i="15" s="1"/>
  <c r="D34" i="15"/>
  <c r="E34" i="15" s="1"/>
  <c r="I33" i="15"/>
  <c r="J33" i="15" s="1"/>
  <c r="D33" i="15"/>
  <c r="E33" i="15" s="1"/>
  <c r="I32" i="15"/>
  <c r="J32" i="15" s="1"/>
  <c r="D32" i="15"/>
  <c r="E32" i="15" s="1"/>
  <c r="I31" i="15"/>
  <c r="J31" i="15" s="1"/>
  <c r="D31" i="15"/>
  <c r="E31" i="15" s="1"/>
  <c r="I30" i="15"/>
  <c r="J30" i="15" s="1"/>
  <c r="D30" i="15"/>
  <c r="E30" i="15" s="1"/>
  <c r="I29" i="15"/>
  <c r="J29" i="15" s="1"/>
  <c r="D29" i="15"/>
  <c r="E29" i="15" s="1"/>
  <c r="I28" i="15"/>
  <c r="J28" i="15" s="1"/>
  <c r="D28" i="15"/>
  <c r="E28" i="15" s="1"/>
  <c r="I27" i="15"/>
  <c r="J27" i="15" s="1"/>
  <c r="D27" i="15"/>
  <c r="E27" i="15" s="1"/>
  <c r="I26" i="15"/>
  <c r="J26" i="15" s="1"/>
  <c r="D26" i="15"/>
  <c r="E26" i="15" s="1"/>
  <c r="I25" i="15"/>
  <c r="J25" i="15" s="1"/>
  <c r="D25" i="15"/>
  <c r="E25" i="15" s="1"/>
  <c r="I24" i="15"/>
  <c r="J24" i="15" s="1"/>
  <c r="D24" i="15"/>
  <c r="E24" i="15" s="1"/>
  <c r="I23" i="15"/>
  <c r="J23" i="15" s="1"/>
  <c r="D23" i="15"/>
  <c r="E23" i="15" s="1"/>
  <c r="I22" i="15"/>
  <c r="J22" i="15" s="1"/>
  <c r="D22" i="15"/>
  <c r="E22" i="15" s="1"/>
  <c r="I21" i="15"/>
  <c r="J21" i="15" s="1"/>
  <c r="D21" i="15"/>
  <c r="E21" i="15" s="1"/>
  <c r="I20" i="15"/>
  <c r="J20" i="15" s="1"/>
  <c r="D20" i="15"/>
  <c r="E20" i="15" s="1"/>
  <c r="I19" i="15"/>
  <c r="J19" i="15" s="1"/>
  <c r="D19" i="15"/>
  <c r="E19" i="15" s="1"/>
  <c r="I18" i="15"/>
  <c r="J18" i="15" s="1"/>
  <c r="D18" i="15"/>
  <c r="E18" i="15" s="1"/>
  <c r="I17" i="15"/>
  <c r="J17" i="15" s="1"/>
  <c r="D17" i="15"/>
  <c r="E17" i="15" s="1"/>
  <c r="I16" i="15"/>
  <c r="J16" i="15" s="1"/>
  <c r="D16" i="15"/>
  <c r="E16" i="15" s="1"/>
  <c r="I15" i="15"/>
  <c r="J15" i="15" s="1"/>
  <c r="D15" i="15"/>
  <c r="E15" i="15" s="1"/>
  <c r="I14" i="15"/>
  <c r="J14" i="15" s="1"/>
  <c r="D14" i="15"/>
  <c r="E14" i="15" s="1"/>
  <c r="I13" i="15"/>
  <c r="J13" i="15" s="1"/>
  <c r="D13" i="15"/>
  <c r="E13" i="15" s="1"/>
  <c r="I12" i="15"/>
  <c r="J12" i="15" s="1"/>
  <c r="D12" i="15"/>
  <c r="E12" i="15" s="1"/>
  <c r="I11" i="15"/>
  <c r="J11" i="15" s="1"/>
  <c r="D11" i="15"/>
  <c r="E11" i="15" s="1"/>
  <c r="I10" i="15"/>
  <c r="J10" i="15" s="1"/>
  <c r="D10" i="15"/>
  <c r="E10" i="15" s="1"/>
  <c r="I9" i="15"/>
  <c r="J9" i="15" s="1"/>
  <c r="E9" i="15"/>
  <c r="I8" i="15"/>
  <c r="J8" i="15" s="1"/>
  <c r="D8" i="15"/>
  <c r="E8" i="15" s="1"/>
  <c r="I7" i="15"/>
  <c r="J7" i="15" s="1"/>
  <c r="D7" i="15"/>
  <c r="E7" i="15" s="1"/>
  <c r="I6" i="15"/>
  <c r="J6" i="15" s="1"/>
  <c r="D6" i="15"/>
  <c r="E6" i="15" s="1"/>
  <c r="I5" i="15"/>
  <c r="J5" i="15" s="1"/>
  <c r="D5" i="15"/>
  <c r="E5" i="15" s="1"/>
  <c r="V15" i="14"/>
  <c r="V16" i="14"/>
  <c r="V17" i="14"/>
  <c r="V18" i="14"/>
  <c r="V19" i="14"/>
  <c r="V20" i="14"/>
  <c r="V21" i="14"/>
  <c r="V22" i="14"/>
  <c r="V23" i="14"/>
  <c r="V24" i="14"/>
  <c r="V25" i="14"/>
  <c r="V26" i="14"/>
  <c r="V27" i="14"/>
  <c r="V28" i="14"/>
  <c r="V29" i="14"/>
  <c r="V30" i="14"/>
  <c r="V31" i="14"/>
  <c r="V32" i="14"/>
  <c r="V33" i="14"/>
  <c r="V34" i="14"/>
  <c r="V35" i="14"/>
  <c r="V36" i="14"/>
  <c r="V37" i="14"/>
  <c r="V38" i="14"/>
  <c r="V39" i="14"/>
  <c r="V40" i="14"/>
  <c r="V41" i="14"/>
  <c r="V42" i="14"/>
  <c r="V43" i="14"/>
  <c r="V44" i="14"/>
  <c r="V45" i="14"/>
  <c r="V46" i="14"/>
  <c r="V47" i="14"/>
  <c r="V48" i="14"/>
  <c r="V49" i="14"/>
  <c r="V50" i="14"/>
  <c r="V51" i="14"/>
  <c r="V52" i="14"/>
  <c r="V53" i="14"/>
  <c r="V54" i="14"/>
  <c r="V55" i="14"/>
  <c r="V56" i="14"/>
  <c r="V57" i="14"/>
  <c r="V58" i="14"/>
  <c r="V59" i="14"/>
  <c r="V60" i="14"/>
  <c r="V61" i="14"/>
  <c r="V62" i="14"/>
  <c r="V63" i="14"/>
  <c r="V64" i="14"/>
  <c r="V65" i="14"/>
  <c r="V66" i="14"/>
  <c r="V67" i="14"/>
  <c r="V68" i="14"/>
  <c r="V69" i="14"/>
  <c r="V14" i="14"/>
  <c r="U15" i="14"/>
  <c r="U16" i="14"/>
  <c r="U17" i="14"/>
  <c r="U18" i="14"/>
  <c r="U19" i="14"/>
  <c r="U20" i="14"/>
  <c r="U21" i="14"/>
  <c r="U22" i="14"/>
  <c r="U23" i="14"/>
  <c r="U24" i="14"/>
  <c r="U25" i="14"/>
  <c r="U26" i="14"/>
  <c r="U27" i="14"/>
  <c r="U28" i="14"/>
  <c r="U29" i="14"/>
  <c r="U30" i="14"/>
  <c r="U31" i="14"/>
  <c r="U32" i="14"/>
  <c r="U33" i="14"/>
  <c r="U34" i="14"/>
  <c r="U35" i="14"/>
  <c r="U36" i="14"/>
  <c r="U37" i="14"/>
  <c r="U38" i="14"/>
  <c r="U39" i="14"/>
  <c r="U40" i="14"/>
  <c r="U41" i="14"/>
  <c r="U42" i="14"/>
  <c r="U43" i="14"/>
  <c r="U44" i="14"/>
  <c r="U45" i="14"/>
  <c r="U46" i="14"/>
  <c r="U47" i="14"/>
  <c r="U48" i="14"/>
  <c r="U49" i="14"/>
  <c r="U50" i="14"/>
  <c r="U51" i="14"/>
  <c r="U52" i="14"/>
  <c r="U53" i="14"/>
  <c r="U54" i="14"/>
  <c r="U55" i="14"/>
  <c r="U56" i="14"/>
  <c r="U57" i="14"/>
  <c r="U58" i="14"/>
  <c r="U59" i="14"/>
  <c r="U60" i="14"/>
  <c r="U61" i="14"/>
  <c r="U62" i="14"/>
  <c r="U63" i="14"/>
  <c r="U64" i="14"/>
  <c r="U65" i="14"/>
  <c r="U66" i="14"/>
  <c r="U67" i="14"/>
  <c r="U68" i="14"/>
  <c r="U69" i="14"/>
  <c r="U14" i="14"/>
  <c r="T15" i="14"/>
  <c r="T16" i="14"/>
  <c r="T17" i="14"/>
  <c r="T18" i="14"/>
  <c r="T19" i="14"/>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T51" i="14"/>
  <c r="T52" i="14"/>
  <c r="T53" i="14"/>
  <c r="T54" i="14"/>
  <c r="T55" i="14"/>
  <c r="T56" i="14"/>
  <c r="T57" i="14"/>
  <c r="T58" i="14"/>
  <c r="T59" i="14"/>
  <c r="T60" i="14"/>
  <c r="T61" i="14"/>
  <c r="T62" i="14"/>
  <c r="T63" i="14"/>
  <c r="T64" i="14"/>
  <c r="T65" i="14"/>
  <c r="T66" i="14"/>
  <c r="T67" i="14"/>
  <c r="T68" i="14"/>
  <c r="T69" i="14"/>
  <c r="T14" i="14"/>
  <c r="S15" i="14"/>
  <c r="W15" i="14" s="1"/>
  <c r="X15" i="14" s="1"/>
  <c r="S16" i="14"/>
  <c r="W16" i="14" s="1"/>
  <c r="X16" i="14" s="1"/>
  <c r="S17" i="14"/>
  <c r="W17" i="14" s="1"/>
  <c r="X17" i="14" s="1"/>
  <c r="S18" i="14"/>
  <c r="W18" i="14" s="1"/>
  <c r="X18" i="14" s="1"/>
  <c r="S19" i="14"/>
  <c r="W19" i="14" s="1"/>
  <c r="X19" i="14" s="1"/>
  <c r="S20" i="14"/>
  <c r="W20" i="14" s="1"/>
  <c r="X20" i="14" s="1"/>
  <c r="S21" i="14"/>
  <c r="W21" i="14" s="1"/>
  <c r="X21" i="14" s="1"/>
  <c r="S22" i="14"/>
  <c r="W22" i="14" s="1"/>
  <c r="X22" i="14" s="1"/>
  <c r="S23" i="14"/>
  <c r="W23" i="14" s="1"/>
  <c r="X23" i="14" s="1"/>
  <c r="S24" i="14"/>
  <c r="W24" i="14" s="1"/>
  <c r="X24" i="14" s="1"/>
  <c r="S25" i="14"/>
  <c r="W25" i="14" s="1"/>
  <c r="X25" i="14" s="1"/>
  <c r="S26" i="14"/>
  <c r="W26" i="14" s="1"/>
  <c r="X26" i="14" s="1"/>
  <c r="S27" i="14"/>
  <c r="W27" i="14" s="1"/>
  <c r="X27" i="14" s="1"/>
  <c r="S28" i="14"/>
  <c r="W28" i="14" s="1"/>
  <c r="X28" i="14" s="1"/>
  <c r="S29" i="14"/>
  <c r="W29" i="14" s="1"/>
  <c r="X29" i="14" s="1"/>
  <c r="S30" i="14"/>
  <c r="W30" i="14" s="1"/>
  <c r="X30" i="14" s="1"/>
  <c r="S31" i="14"/>
  <c r="W31" i="14" s="1"/>
  <c r="X31" i="14" s="1"/>
  <c r="S32" i="14"/>
  <c r="W32" i="14" s="1"/>
  <c r="X32" i="14" s="1"/>
  <c r="S33" i="14"/>
  <c r="W33" i="14" s="1"/>
  <c r="X33" i="14" s="1"/>
  <c r="S34" i="14"/>
  <c r="W34" i="14" s="1"/>
  <c r="X34" i="14" s="1"/>
  <c r="S35" i="14"/>
  <c r="W35" i="14" s="1"/>
  <c r="X35" i="14" s="1"/>
  <c r="S36" i="14"/>
  <c r="W36" i="14" s="1"/>
  <c r="X36" i="14" s="1"/>
  <c r="S37" i="14"/>
  <c r="W37" i="14" s="1"/>
  <c r="X37" i="14" s="1"/>
  <c r="S38" i="14"/>
  <c r="W38" i="14" s="1"/>
  <c r="X38" i="14" s="1"/>
  <c r="S39" i="14"/>
  <c r="W39" i="14" s="1"/>
  <c r="X39" i="14" s="1"/>
  <c r="S40" i="14"/>
  <c r="W40" i="14" s="1"/>
  <c r="X40" i="14" s="1"/>
  <c r="S41" i="14"/>
  <c r="W41" i="14" s="1"/>
  <c r="X41" i="14" s="1"/>
  <c r="S42" i="14"/>
  <c r="W42" i="14" s="1"/>
  <c r="X42" i="14" s="1"/>
  <c r="S43" i="14"/>
  <c r="W43" i="14" s="1"/>
  <c r="X43" i="14" s="1"/>
  <c r="S44" i="14"/>
  <c r="W44" i="14" s="1"/>
  <c r="X44" i="14" s="1"/>
  <c r="S45" i="14"/>
  <c r="W45" i="14" s="1"/>
  <c r="X45" i="14" s="1"/>
  <c r="S46" i="14"/>
  <c r="W46" i="14" s="1"/>
  <c r="X46" i="14" s="1"/>
  <c r="S47" i="14"/>
  <c r="W47" i="14" s="1"/>
  <c r="X47" i="14" s="1"/>
  <c r="S48" i="14"/>
  <c r="W48" i="14" s="1"/>
  <c r="X48" i="14" s="1"/>
  <c r="S49" i="14"/>
  <c r="W49" i="14" s="1"/>
  <c r="X49" i="14" s="1"/>
  <c r="S50" i="14"/>
  <c r="W50" i="14" s="1"/>
  <c r="X50" i="14" s="1"/>
  <c r="S51" i="14"/>
  <c r="W51" i="14" s="1"/>
  <c r="X51" i="14" s="1"/>
  <c r="S52" i="14"/>
  <c r="W52" i="14" s="1"/>
  <c r="X52" i="14" s="1"/>
  <c r="S53" i="14"/>
  <c r="W53" i="14" s="1"/>
  <c r="X53" i="14" s="1"/>
  <c r="S54" i="14"/>
  <c r="W54" i="14" s="1"/>
  <c r="X54" i="14" s="1"/>
  <c r="S55" i="14"/>
  <c r="W55" i="14" s="1"/>
  <c r="X55" i="14" s="1"/>
  <c r="S56" i="14"/>
  <c r="W56" i="14" s="1"/>
  <c r="X56" i="14" s="1"/>
  <c r="S57" i="14"/>
  <c r="W57" i="14" s="1"/>
  <c r="X57" i="14" s="1"/>
  <c r="S58" i="14"/>
  <c r="W58" i="14" s="1"/>
  <c r="X58" i="14" s="1"/>
  <c r="S59" i="14"/>
  <c r="W59" i="14" s="1"/>
  <c r="X59" i="14" s="1"/>
  <c r="S60" i="14"/>
  <c r="W60" i="14" s="1"/>
  <c r="X60" i="14" s="1"/>
  <c r="S61" i="14"/>
  <c r="W61" i="14" s="1"/>
  <c r="X61" i="14" s="1"/>
  <c r="S62" i="14"/>
  <c r="W62" i="14" s="1"/>
  <c r="X62" i="14" s="1"/>
  <c r="S63" i="14"/>
  <c r="W63" i="14" s="1"/>
  <c r="X63" i="14" s="1"/>
  <c r="S64" i="14"/>
  <c r="W64" i="14" s="1"/>
  <c r="X64" i="14" s="1"/>
  <c r="S65" i="14"/>
  <c r="W65" i="14" s="1"/>
  <c r="X65" i="14" s="1"/>
  <c r="S66" i="14"/>
  <c r="W66" i="14" s="1"/>
  <c r="X66" i="14" s="1"/>
  <c r="S67" i="14"/>
  <c r="W67" i="14" s="1"/>
  <c r="X67" i="14" s="1"/>
  <c r="S68" i="14"/>
  <c r="W68" i="14" s="1"/>
  <c r="X68" i="14" s="1"/>
  <c r="S69" i="14"/>
  <c r="W69" i="14" s="1"/>
  <c r="X69" i="14" s="1"/>
  <c r="S14" i="14"/>
  <c r="W14" i="14" s="1"/>
  <c r="X14" i="14" s="1"/>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14" i="14"/>
  <c r="G15" i="14"/>
  <c r="K15" i="14" s="1"/>
  <c r="L15" i="14" s="1"/>
  <c r="G16" i="14"/>
  <c r="K16" i="14" s="1"/>
  <c r="L16" i="14" s="1"/>
  <c r="G17" i="14"/>
  <c r="K17" i="14" s="1"/>
  <c r="L17" i="14" s="1"/>
  <c r="G18" i="14"/>
  <c r="K18" i="14" s="1"/>
  <c r="L18" i="14" s="1"/>
  <c r="G19" i="14"/>
  <c r="K19" i="14" s="1"/>
  <c r="L19" i="14" s="1"/>
  <c r="G20" i="14"/>
  <c r="K20" i="14" s="1"/>
  <c r="L20" i="14" s="1"/>
  <c r="G21" i="14"/>
  <c r="K21" i="14" s="1"/>
  <c r="L21" i="14" s="1"/>
  <c r="G22" i="14"/>
  <c r="K22" i="14" s="1"/>
  <c r="L22" i="14" s="1"/>
  <c r="G23" i="14"/>
  <c r="K23" i="14" s="1"/>
  <c r="L23" i="14" s="1"/>
  <c r="G24" i="14"/>
  <c r="K24" i="14" s="1"/>
  <c r="L24" i="14" s="1"/>
  <c r="G25" i="14"/>
  <c r="K25" i="14" s="1"/>
  <c r="L25" i="14" s="1"/>
  <c r="G26" i="14"/>
  <c r="K26" i="14" s="1"/>
  <c r="L26" i="14" s="1"/>
  <c r="G27" i="14"/>
  <c r="K27" i="14" s="1"/>
  <c r="L27" i="14" s="1"/>
  <c r="G28" i="14"/>
  <c r="K28" i="14" s="1"/>
  <c r="L28" i="14" s="1"/>
  <c r="G29" i="14"/>
  <c r="K29" i="14" s="1"/>
  <c r="L29" i="14" s="1"/>
  <c r="G30" i="14"/>
  <c r="K30" i="14" s="1"/>
  <c r="L30" i="14" s="1"/>
  <c r="G31" i="14"/>
  <c r="K31" i="14" s="1"/>
  <c r="L31" i="14" s="1"/>
  <c r="G32" i="14"/>
  <c r="K32" i="14" s="1"/>
  <c r="L32" i="14" s="1"/>
  <c r="G33" i="14"/>
  <c r="K33" i="14" s="1"/>
  <c r="L33" i="14" s="1"/>
  <c r="G34" i="14"/>
  <c r="K34" i="14" s="1"/>
  <c r="L34" i="14" s="1"/>
  <c r="G35" i="14"/>
  <c r="K35" i="14" s="1"/>
  <c r="L35" i="14" s="1"/>
  <c r="G36" i="14"/>
  <c r="K36" i="14" s="1"/>
  <c r="L36" i="14" s="1"/>
  <c r="G37" i="14"/>
  <c r="K37" i="14" s="1"/>
  <c r="L37" i="14" s="1"/>
  <c r="G38" i="14"/>
  <c r="K38" i="14" s="1"/>
  <c r="L38" i="14" s="1"/>
  <c r="G39" i="14"/>
  <c r="K39" i="14" s="1"/>
  <c r="L39" i="14" s="1"/>
  <c r="G40" i="14"/>
  <c r="K40" i="14" s="1"/>
  <c r="L40" i="14" s="1"/>
  <c r="G41" i="14"/>
  <c r="K41" i="14" s="1"/>
  <c r="L41" i="14" s="1"/>
  <c r="G42" i="14"/>
  <c r="K42" i="14" s="1"/>
  <c r="L42" i="14" s="1"/>
  <c r="G43" i="14"/>
  <c r="K43" i="14" s="1"/>
  <c r="L43" i="14" s="1"/>
  <c r="G44" i="14"/>
  <c r="K44" i="14" s="1"/>
  <c r="L44" i="14" s="1"/>
  <c r="G45" i="14"/>
  <c r="K45" i="14" s="1"/>
  <c r="L45" i="14" s="1"/>
  <c r="G46" i="14"/>
  <c r="K46" i="14" s="1"/>
  <c r="L46" i="14" s="1"/>
  <c r="G47" i="14"/>
  <c r="K47" i="14" s="1"/>
  <c r="L47" i="14" s="1"/>
  <c r="G48" i="14"/>
  <c r="K48" i="14" s="1"/>
  <c r="L48" i="14" s="1"/>
  <c r="G49" i="14"/>
  <c r="K49" i="14" s="1"/>
  <c r="L49" i="14" s="1"/>
  <c r="G50" i="14"/>
  <c r="K50" i="14" s="1"/>
  <c r="L50" i="14" s="1"/>
  <c r="G51" i="14"/>
  <c r="K51" i="14" s="1"/>
  <c r="L51" i="14" s="1"/>
  <c r="G52" i="14"/>
  <c r="K52" i="14" s="1"/>
  <c r="L52" i="14" s="1"/>
  <c r="G53" i="14"/>
  <c r="K53" i="14" s="1"/>
  <c r="L53" i="14" s="1"/>
  <c r="G54" i="14"/>
  <c r="K54" i="14" s="1"/>
  <c r="L54" i="14" s="1"/>
  <c r="G55" i="14"/>
  <c r="K55" i="14" s="1"/>
  <c r="L55" i="14" s="1"/>
  <c r="G56" i="14"/>
  <c r="K56" i="14" s="1"/>
  <c r="L56" i="14" s="1"/>
  <c r="G14" i="14"/>
  <c r="K14" i="14" s="1"/>
  <c r="L14" i="14" s="1"/>
  <c r="I60" i="13" l="1"/>
  <c r="J60" i="13" s="1"/>
  <c r="I59" i="13"/>
  <c r="J59" i="13" s="1"/>
  <c r="I58" i="13"/>
  <c r="J58" i="13" s="1"/>
  <c r="I53" i="13"/>
  <c r="J53" i="13" s="1"/>
  <c r="I52" i="13"/>
  <c r="J52" i="13" s="1"/>
  <c r="I51" i="13"/>
  <c r="J51" i="13" s="1"/>
  <c r="I50" i="13"/>
  <c r="J50" i="13" s="1"/>
  <c r="I49" i="13"/>
  <c r="J49" i="13" s="1"/>
  <c r="I48" i="13"/>
  <c r="J48" i="13" s="1"/>
  <c r="I47" i="13"/>
  <c r="J47" i="13" s="1"/>
  <c r="D47" i="13"/>
  <c r="E47" i="13" s="1"/>
  <c r="I46" i="13"/>
  <c r="J46" i="13" s="1"/>
  <c r="D46" i="13"/>
  <c r="E46" i="13" s="1"/>
  <c r="I45" i="13"/>
  <c r="J45" i="13" s="1"/>
  <c r="D45" i="13"/>
  <c r="E45" i="13" s="1"/>
  <c r="I44" i="13"/>
  <c r="J44" i="13" s="1"/>
  <c r="D44" i="13"/>
  <c r="E44" i="13" s="1"/>
  <c r="I43" i="13"/>
  <c r="J43" i="13" s="1"/>
  <c r="D43" i="13"/>
  <c r="E43" i="13" s="1"/>
  <c r="I42" i="13"/>
  <c r="J42" i="13" s="1"/>
  <c r="D42" i="13"/>
  <c r="E42" i="13" s="1"/>
  <c r="I41" i="13"/>
  <c r="J41" i="13" s="1"/>
  <c r="D41" i="13"/>
  <c r="E41" i="13" s="1"/>
  <c r="I40" i="13"/>
  <c r="J40" i="13" s="1"/>
  <c r="D40" i="13"/>
  <c r="E40" i="13" s="1"/>
  <c r="I39" i="13"/>
  <c r="J39" i="13" s="1"/>
  <c r="D39" i="13"/>
  <c r="E39" i="13" s="1"/>
  <c r="I38" i="13"/>
  <c r="J38" i="13" s="1"/>
  <c r="D38" i="13"/>
  <c r="E38" i="13" s="1"/>
  <c r="I37" i="13"/>
  <c r="J37" i="13" s="1"/>
  <c r="D37" i="13"/>
  <c r="E37" i="13" s="1"/>
  <c r="I36" i="13"/>
  <c r="J36" i="13" s="1"/>
  <c r="D36" i="13"/>
  <c r="E36" i="13" s="1"/>
  <c r="I35" i="13"/>
  <c r="J35" i="13" s="1"/>
  <c r="D35" i="13"/>
  <c r="E35" i="13" s="1"/>
  <c r="I34" i="13"/>
  <c r="J34" i="13" s="1"/>
  <c r="D34" i="13"/>
  <c r="E34" i="13" s="1"/>
  <c r="I33" i="13"/>
  <c r="J33" i="13" s="1"/>
  <c r="D33" i="13"/>
  <c r="E33" i="13" s="1"/>
  <c r="I32" i="13"/>
  <c r="J32" i="13" s="1"/>
  <c r="D32" i="13"/>
  <c r="E32" i="13" s="1"/>
  <c r="I31" i="13"/>
  <c r="J31" i="13" s="1"/>
  <c r="D31" i="13"/>
  <c r="E31" i="13" s="1"/>
  <c r="I30" i="13"/>
  <c r="J30" i="13" s="1"/>
  <c r="D30" i="13"/>
  <c r="E30" i="13" s="1"/>
  <c r="I29" i="13"/>
  <c r="J29" i="13" s="1"/>
  <c r="D29" i="13"/>
  <c r="E29" i="13" s="1"/>
  <c r="I28" i="13"/>
  <c r="J28" i="13" s="1"/>
  <c r="D28" i="13"/>
  <c r="E28" i="13" s="1"/>
  <c r="I27" i="13"/>
  <c r="J27" i="13" s="1"/>
  <c r="D27" i="13"/>
  <c r="E27" i="13" s="1"/>
  <c r="I26" i="13"/>
  <c r="J26" i="13" s="1"/>
  <c r="D26" i="13"/>
  <c r="E26" i="13" s="1"/>
  <c r="I25" i="13"/>
  <c r="J25" i="13" s="1"/>
  <c r="D25" i="13"/>
  <c r="E25" i="13" s="1"/>
  <c r="I24" i="13"/>
  <c r="J24" i="13" s="1"/>
  <c r="D24" i="13"/>
  <c r="E24" i="13" s="1"/>
  <c r="I23" i="13"/>
  <c r="J23" i="13" s="1"/>
  <c r="D23" i="13"/>
  <c r="E23" i="13" s="1"/>
  <c r="I22" i="13"/>
  <c r="J22" i="13" s="1"/>
  <c r="D22" i="13"/>
  <c r="E22" i="13" s="1"/>
  <c r="I21" i="13"/>
  <c r="J21" i="13" s="1"/>
  <c r="D21" i="13"/>
  <c r="E21" i="13" s="1"/>
  <c r="I20" i="13"/>
  <c r="J20" i="13" s="1"/>
  <c r="D20" i="13"/>
  <c r="E20" i="13" s="1"/>
  <c r="I19" i="13"/>
  <c r="J19" i="13" s="1"/>
  <c r="D19" i="13"/>
  <c r="E19" i="13" s="1"/>
  <c r="I18" i="13"/>
  <c r="J18" i="13" s="1"/>
  <c r="D18" i="13"/>
  <c r="E18" i="13" s="1"/>
  <c r="I17" i="13"/>
  <c r="J17" i="13" s="1"/>
  <c r="D17" i="13"/>
  <c r="E17" i="13" s="1"/>
  <c r="I16" i="13"/>
  <c r="J16" i="13" s="1"/>
  <c r="D16" i="13"/>
  <c r="E16" i="13" s="1"/>
  <c r="I15" i="13"/>
  <c r="J15" i="13" s="1"/>
  <c r="D15" i="13"/>
  <c r="E15" i="13" s="1"/>
  <c r="I14" i="13"/>
  <c r="J14" i="13" s="1"/>
  <c r="D14" i="13"/>
  <c r="E14" i="13" s="1"/>
  <c r="I13" i="13"/>
  <c r="J13" i="13" s="1"/>
  <c r="D13" i="13"/>
  <c r="E13" i="13" s="1"/>
  <c r="I12" i="13"/>
  <c r="J12" i="13" s="1"/>
  <c r="D12" i="13"/>
  <c r="E12" i="13" s="1"/>
  <c r="I11" i="13"/>
  <c r="J11" i="13" s="1"/>
  <c r="D11" i="13"/>
  <c r="E11" i="13" s="1"/>
  <c r="I10" i="13"/>
  <c r="J10" i="13" s="1"/>
  <c r="D10" i="13"/>
  <c r="E10" i="13" s="1"/>
  <c r="I9" i="13"/>
  <c r="J9" i="13" s="1"/>
  <c r="D9" i="13"/>
  <c r="E9" i="13" s="1"/>
  <c r="I8" i="13"/>
  <c r="J8" i="13" s="1"/>
  <c r="D8" i="13"/>
  <c r="E8" i="13" s="1"/>
  <c r="I7" i="13"/>
  <c r="J7" i="13" s="1"/>
  <c r="D7" i="13"/>
  <c r="E7" i="13" s="1"/>
  <c r="I6" i="13"/>
  <c r="J6" i="13" s="1"/>
  <c r="D6" i="13"/>
  <c r="E6" i="13" s="1"/>
  <c r="I5" i="13"/>
  <c r="J5" i="13" s="1"/>
  <c r="D5" i="13"/>
  <c r="E5" i="13" s="1"/>
  <c r="AD34" i="11" l="1"/>
  <c r="AD36" i="11"/>
  <c r="AD37" i="11"/>
  <c r="AD38" i="11"/>
  <c r="AD39" i="11"/>
  <c r="AD40" i="11"/>
  <c r="AD41" i="11"/>
  <c r="AD42" i="11"/>
  <c r="AD43" i="11"/>
  <c r="AD34" i="3"/>
  <c r="AF34" i="11" l="1"/>
  <c r="W76" i="11" l="1"/>
  <c r="V76" i="11"/>
  <c r="U76" i="11"/>
  <c r="K76" i="11"/>
  <c r="J76" i="11"/>
  <c r="I76" i="11"/>
  <c r="W75" i="11"/>
  <c r="V75" i="11"/>
  <c r="U75" i="11"/>
  <c r="K75" i="11"/>
  <c r="J75" i="11"/>
  <c r="I75" i="11"/>
  <c r="W74" i="11"/>
  <c r="V74" i="11"/>
  <c r="U74" i="11"/>
  <c r="K74" i="11"/>
  <c r="J74" i="11"/>
  <c r="I74" i="11"/>
  <c r="W73" i="11"/>
  <c r="V73" i="11"/>
  <c r="U73" i="11"/>
  <c r="K73" i="11"/>
  <c r="J73" i="11"/>
  <c r="I73" i="11"/>
  <c r="W72" i="11"/>
  <c r="V72" i="11"/>
  <c r="U72" i="11"/>
  <c r="K72" i="11"/>
  <c r="J72" i="11"/>
  <c r="I72" i="11"/>
  <c r="W71" i="11"/>
  <c r="V71" i="11"/>
  <c r="U71" i="11"/>
  <c r="K71" i="11"/>
  <c r="J71" i="11"/>
  <c r="I71" i="11"/>
  <c r="W70" i="11"/>
  <c r="V70" i="11"/>
  <c r="U70" i="11"/>
  <c r="K70" i="11"/>
  <c r="J70" i="11"/>
  <c r="I70" i="11"/>
  <c r="W69" i="11"/>
  <c r="V69" i="11"/>
  <c r="U69" i="11"/>
  <c r="K69" i="11"/>
  <c r="J69" i="11"/>
  <c r="I69" i="11"/>
  <c r="W68" i="11"/>
  <c r="V68" i="11"/>
  <c r="U68" i="11"/>
  <c r="K68" i="11"/>
  <c r="J68" i="11"/>
  <c r="I68" i="11"/>
  <c r="W67" i="11"/>
  <c r="V67" i="11"/>
  <c r="U67" i="11"/>
  <c r="K67" i="11"/>
  <c r="J67" i="11"/>
  <c r="I67" i="11"/>
  <c r="W66" i="11"/>
  <c r="V66" i="11"/>
  <c r="U66" i="11"/>
  <c r="K66" i="11"/>
  <c r="J66" i="11"/>
  <c r="I66" i="11"/>
  <c r="W65" i="11"/>
  <c r="V65" i="11"/>
  <c r="U65" i="11"/>
  <c r="K65" i="11"/>
  <c r="J65" i="11"/>
  <c r="I65" i="11"/>
  <c r="W64" i="11"/>
  <c r="V64" i="11"/>
  <c r="U64" i="11"/>
  <c r="K64" i="11"/>
  <c r="J64" i="11"/>
  <c r="I64" i="11"/>
  <c r="W63" i="11"/>
  <c r="V63" i="11"/>
  <c r="U63" i="11"/>
  <c r="K63" i="11"/>
  <c r="J63" i="11"/>
  <c r="I63" i="11"/>
  <c r="W62" i="11"/>
  <c r="V62" i="11"/>
  <c r="U62" i="11"/>
  <c r="K62" i="11"/>
  <c r="J62" i="11"/>
  <c r="I62" i="11"/>
  <c r="W61" i="11"/>
  <c r="V61" i="11"/>
  <c r="U61" i="11"/>
  <c r="K61" i="11"/>
  <c r="J61" i="11"/>
  <c r="I61" i="11"/>
  <c r="W60" i="11"/>
  <c r="V60" i="11"/>
  <c r="U60" i="11"/>
  <c r="K60" i="11"/>
  <c r="J60" i="11"/>
  <c r="I60" i="11"/>
  <c r="W59" i="11"/>
  <c r="V59" i="11"/>
  <c r="U59" i="11"/>
  <c r="K59" i="11"/>
  <c r="J59" i="11"/>
  <c r="I59" i="11"/>
  <c r="W58" i="11"/>
  <c r="V58" i="11"/>
  <c r="U58" i="11"/>
  <c r="K58" i="11"/>
  <c r="J58" i="11"/>
  <c r="I58" i="11"/>
  <c r="W57" i="11"/>
  <c r="V57" i="11"/>
  <c r="U57" i="11"/>
  <c r="K57" i="11"/>
  <c r="J57" i="11"/>
  <c r="I57" i="11"/>
  <c r="W56" i="11"/>
  <c r="V56" i="11"/>
  <c r="U56" i="11"/>
  <c r="K56" i="11"/>
  <c r="J56" i="11"/>
  <c r="I56" i="11"/>
  <c r="W55" i="11"/>
  <c r="V55" i="11"/>
  <c r="U55" i="11"/>
  <c r="K55" i="11"/>
  <c r="J55" i="11"/>
  <c r="I55" i="11"/>
  <c r="W54" i="11"/>
  <c r="V54" i="11"/>
  <c r="U54" i="11"/>
  <c r="K54" i="11"/>
  <c r="J54" i="11"/>
  <c r="I54" i="11"/>
  <c r="W53" i="11"/>
  <c r="V53" i="11"/>
  <c r="U53" i="11"/>
  <c r="K53" i="11"/>
  <c r="J53" i="11"/>
  <c r="I53" i="11"/>
  <c r="W52" i="11"/>
  <c r="V52" i="11"/>
  <c r="U52" i="11"/>
  <c r="K52" i="11"/>
  <c r="J52" i="11"/>
  <c r="I52" i="11"/>
  <c r="W51" i="11"/>
  <c r="V51" i="11"/>
  <c r="U51" i="11"/>
  <c r="K51" i="11"/>
  <c r="J51" i="11"/>
  <c r="I51" i="11"/>
  <c r="W50" i="11"/>
  <c r="V50" i="11"/>
  <c r="U50" i="11"/>
  <c r="K50" i="11"/>
  <c r="J50" i="11"/>
  <c r="I50" i="11"/>
  <c r="W49" i="11"/>
  <c r="V49" i="11"/>
  <c r="U49" i="11"/>
  <c r="K49" i="11"/>
  <c r="J49" i="11"/>
  <c r="I49" i="11"/>
  <c r="W48" i="11"/>
  <c r="V48" i="11"/>
  <c r="U48" i="11"/>
  <c r="K48" i="11"/>
  <c r="J48" i="11"/>
  <c r="I48" i="11"/>
  <c r="W47" i="11"/>
  <c r="V47" i="11"/>
  <c r="U47" i="11"/>
  <c r="K47" i="11"/>
  <c r="J47" i="11"/>
  <c r="I47" i="11"/>
  <c r="W46" i="11"/>
  <c r="V46" i="11"/>
  <c r="U46" i="11"/>
  <c r="K46" i="11"/>
  <c r="J46" i="11"/>
  <c r="I46" i="11"/>
  <c r="W45" i="11"/>
  <c r="V45" i="11"/>
  <c r="U45" i="11"/>
  <c r="K45" i="11"/>
  <c r="J45" i="11"/>
  <c r="I45" i="11"/>
  <c r="W44" i="11"/>
  <c r="V44" i="11"/>
  <c r="U44" i="11"/>
  <c r="K44" i="11"/>
  <c r="J44" i="11"/>
  <c r="I44" i="11"/>
  <c r="AF43" i="11"/>
  <c r="W43" i="11"/>
  <c r="V43" i="11"/>
  <c r="U43" i="11"/>
  <c r="K43" i="11"/>
  <c r="J43" i="11"/>
  <c r="I43" i="11"/>
  <c r="AF42" i="11"/>
  <c r="W42" i="11"/>
  <c r="V42" i="11"/>
  <c r="U42" i="11"/>
  <c r="K42" i="11"/>
  <c r="J42" i="11"/>
  <c r="I42" i="11"/>
  <c r="AF41" i="11"/>
  <c r="W41" i="11"/>
  <c r="V41" i="11"/>
  <c r="U41" i="11"/>
  <c r="K41" i="11"/>
  <c r="J41" i="11"/>
  <c r="I41" i="11"/>
  <c r="AF40" i="11"/>
  <c r="W40" i="11"/>
  <c r="V40" i="11"/>
  <c r="U40" i="11"/>
  <c r="K40" i="11"/>
  <c r="J40" i="11"/>
  <c r="I40" i="11"/>
  <c r="AF39" i="11"/>
  <c r="W39" i="11"/>
  <c r="V39" i="11"/>
  <c r="U39" i="11"/>
  <c r="K39" i="11"/>
  <c r="J39" i="11"/>
  <c r="I39" i="11"/>
  <c r="AF38" i="11"/>
  <c r="W38" i="11"/>
  <c r="V38" i="11"/>
  <c r="U38" i="11"/>
  <c r="K38" i="11"/>
  <c r="J38" i="11"/>
  <c r="I38" i="11"/>
  <c r="AF37" i="11"/>
  <c r="W37" i="11"/>
  <c r="V37" i="11"/>
  <c r="U37" i="11"/>
  <c r="K37" i="11"/>
  <c r="J37" i="11"/>
  <c r="I37" i="11"/>
  <c r="AF36" i="11"/>
  <c r="W36" i="11"/>
  <c r="V36" i="11"/>
  <c r="U36" i="11"/>
  <c r="K36" i="11"/>
  <c r="J36" i="11"/>
  <c r="I36" i="11"/>
  <c r="AD35" i="11"/>
  <c r="AF35" i="11" s="1"/>
  <c r="W35" i="11"/>
  <c r="V35" i="11"/>
  <c r="U35" i="11"/>
  <c r="K35" i="11"/>
  <c r="J35" i="11"/>
  <c r="I35" i="11"/>
  <c r="W34" i="11"/>
  <c r="V34" i="11"/>
  <c r="U34" i="11"/>
  <c r="K34" i="11"/>
  <c r="J34" i="11"/>
  <c r="I34" i="11"/>
  <c r="I77" i="8" l="1"/>
  <c r="I78" i="8"/>
  <c r="I79" i="8"/>
  <c r="I80" i="8"/>
  <c r="I81" i="8"/>
  <c r="I82" i="8"/>
  <c r="I83" i="8"/>
  <c r="I84" i="8"/>
  <c r="I85" i="8"/>
  <c r="I86" i="8"/>
  <c r="I87" i="8"/>
  <c r="I88" i="8"/>
  <c r="I89" i="8"/>
  <c r="J77" i="8"/>
  <c r="J78" i="8"/>
  <c r="J79" i="8"/>
  <c r="J80" i="8"/>
  <c r="J81" i="8"/>
  <c r="J82" i="8"/>
  <c r="J83" i="8"/>
  <c r="J84" i="8"/>
  <c r="J85" i="8"/>
  <c r="J86" i="8"/>
  <c r="J87" i="8"/>
  <c r="J88" i="8"/>
  <c r="J89" i="8"/>
  <c r="K77" i="8"/>
  <c r="K78" i="8"/>
  <c r="K79" i="8"/>
  <c r="K80" i="8"/>
  <c r="K81" i="8"/>
  <c r="K82" i="8"/>
  <c r="K83" i="8"/>
  <c r="K84" i="8"/>
  <c r="K85" i="8"/>
  <c r="K86" i="8"/>
  <c r="K87" i="8"/>
  <c r="K88" i="8"/>
  <c r="K89" i="8"/>
  <c r="U77" i="8"/>
  <c r="U78" i="8"/>
  <c r="U79" i="8"/>
  <c r="U80" i="8"/>
  <c r="U81" i="8"/>
  <c r="U82" i="8"/>
  <c r="U83" i="8"/>
  <c r="U84" i="8"/>
  <c r="U85" i="8"/>
  <c r="U86" i="8"/>
  <c r="U87" i="8"/>
  <c r="U88" i="8"/>
  <c r="U89" i="8"/>
  <c r="V77" i="8"/>
  <c r="V78" i="8"/>
  <c r="V79" i="8"/>
  <c r="V80" i="8"/>
  <c r="V81" i="8"/>
  <c r="V82" i="8"/>
  <c r="V83" i="8"/>
  <c r="V84" i="8"/>
  <c r="V85" i="8"/>
  <c r="V86" i="8"/>
  <c r="V87" i="8"/>
  <c r="V88" i="8"/>
  <c r="V89" i="8"/>
  <c r="W77" i="8"/>
  <c r="W78" i="8"/>
  <c r="W79" i="8"/>
  <c r="W80" i="8"/>
  <c r="W81" i="8"/>
  <c r="W82" i="8"/>
  <c r="W83" i="8"/>
  <c r="W84" i="8"/>
  <c r="W85" i="8"/>
  <c r="W86" i="8"/>
  <c r="W87" i="8"/>
  <c r="W88" i="8"/>
  <c r="W89" i="8"/>
  <c r="W76" i="8"/>
  <c r="V76" i="8"/>
  <c r="U76" i="8"/>
  <c r="K76" i="8"/>
  <c r="J76" i="8"/>
  <c r="I76" i="8"/>
  <c r="W75" i="8"/>
  <c r="V75" i="8"/>
  <c r="U75" i="8"/>
  <c r="K75" i="8"/>
  <c r="J75" i="8"/>
  <c r="I75" i="8"/>
  <c r="W74" i="8"/>
  <c r="V74" i="8"/>
  <c r="U74" i="8"/>
  <c r="K74" i="8"/>
  <c r="J74" i="8"/>
  <c r="I74" i="8"/>
  <c r="W73" i="8"/>
  <c r="V73" i="8"/>
  <c r="U73" i="8"/>
  <c r="K73" i="8"/>
  <c r="J73" i="8"/>
  <c r="I73" i="8"/>
  <c r="W72" i="8"/>
  <c r="V72" i="8"/>
  <c r="U72" i="8"/>
  <c r="K72" i="8"/>
  <c r="J72" i="8"/>
  <c r="I72" i="8"/>
  <c r="W71" i="8"/>
  <c r="V71" i="8"/>
  <c r="U71" i="8"/>
  <c r="K71" i="8"/>
  <c r="J71" i="8"/>
  <c r="I71" i="8"/>
  <c r="W70" i="8"/>
  <c r="V70" i="8"/>
  <c r="U70" i="8"/>
  <c r="K70" i="8"/>
  <c r="J70" i="8"/>
  <c r="I70" i="8"/>
  <c r="W69" i="8"/>
  <c r="V69" i="8"/>
  <c r="U69" i="8"/>
  <c r="K69" i="8"/>
  <c r="J69" i="8"/>
  <c r="I69" i="8"/>
  <c r="W68" i="8"/>
  <c r="V68" i="8"/>
  <c r="U68" i="8"/>
  <c r="K68" i="8"/>
  <c r="J68" i="8"/>
  <c r="I68" i="8"/>
  <c r="W67" i="8"/>
  <c r="V67" i="8"/>
  <c r="U67" i="8"/>
  <c r="K67" i="8"/>
  <c r="J67" i="8"/>
  <c r="I67" i="8"/>
  <c r="W66" i="8"/>
  <c r="V66" i="8"/>
  <c r="U66" i="8"/>
  <c r="K66" i="8"/>
  <c r="J66" i="8"/>
  <c r="I66" i="8"/>
  <c r="W65" i="8"/>
  <c r="V65" i="8"/>
  <c r="U65" i="8"/>
  <c r="K65" i="8"/>
  <c r="J65" i="8"/>
  <c r="I65" i="8"/>
  <c r="W64" i="8"/>
  <c r="V64" i="8"/>
  <c r="U64" i="8"/>
  <c r="K64" i="8"/>
  <c r="J64" i="8"/>
  <c r="I64" i="8"/>
  <c r="W63" i="8"/>
  <c r="V63" i="8"/>
  <c r="U63" i="8"/>
  <c r="K63" i="8"/>
  <c r="J63" i="8"/>
  <c r="I63" i="8"/>
  <c r="W62" i="8"/>
  <c r="V62" i="8"/>
  <c r="U62" i="8"/>
  <c r="K62" i="8"/>
  <c r="J62" i="8"/>
  <c r="I62" i="8"/>
  <c r="W61" i="8"/>
  <c r="V61" i="8"/>
  <c r="U61" i="8"/>
  <c r="K61" i="8"/>
  <c r="J61" i="8"/>
  <c r="I61" i="8"/>
  <c r="W60" i="8"/>
  <c r="V60" i="8"/>
  <c r="U60" i="8"/>
  <c r="K60" i="8"/>
  <c r="J60" i="8"/>
  <c r="I60" i="8"/>
  <c r="W59" i="8"/>
  <c r="V59" i="8"/>
  <c r="U59" i="8"/>
  <c r="K59" i="8"/>
  <c r="J59" i="8"/>
  <c r="I59" i="8"/>
  <c r="W58" i="8"/>
  <c r="V58" i="8"/>
  <c r="U58" i="8"/>
  <c r="K58" i="8"/>
  <c r="J58" i="8"/>
  <c r="I58" i="8"/>
  <c r="W57" i="8"/>
  <c r="V57" i="8"/>
  <c r="U57" i="8"/>
  <c r="K57" i="8"/>
  <c r="J57" i="8"/>
  <c r="I57" i="8"/>
  <c r="W56" i="8"/>
  <c r="V56" i="8"/>
  <c r="U56" i="8"/>
  <c r="K56" i="8"/>
  <c r="J56" i="8"/>
  <c r="I56" i="8"/>
  <c r="W55" i="8"/>
  <c r="V55" i="8"/>
  <c r="U55" i="8"/>
  <c r="K55" i="8"/>
  <c r="J55" i="8"/>
  <c r="I55" i="8"/>
  <c r="W54" i="8"/>
  <c r="V54" i="8"/>
  <c r="U54" i="8"/>
  <c r="K54" i="8"/>
  <c r="J54" i="8"/>
  <c r="I54" i="8"/>
  <c r="W53" i="8"/>
  <c r="V53" i="8"/>
  <c r="U53" i="8"/>
  <c r="K53" i="8"/>
  <c r="J53" i="8"/>
  <c r="I53" i="8"/>
  <c r="W52" i="8"/>
  <c r="V52" i="8"/>
  <c r="U52" i="8"/>
  <c r="K52" i="8"/>
  <c r="J52" i="8"/>
  <c r="I52" i="8"/>
  <c r="W51" i="8"/>
  <c r="V51" i="8"/>
  <c r="U51" i="8"/>
  <c r="K51" i="8"/>
  <c r="J51" i="8"/>
  <c r="I51" i="8"/>
  <c r="W50" i="8"/>
  <c r="V50" i="8"/>
  <c r="U50" i="8"/>
  <c r="K50" i="8"/>
  <c r="J50" i="8"/>
  <c r="I50" i="8"/>
  <c r="W49" i="8"/>
  <c r="V49" i="8"/>
  <c r="U49" i="8"/>
  <c r="K49" i="8"/>
  <c r="J49" i="8"/>
  <c r="I49" i="8"/>
  <c r="W48" i="8"/>
  <c r="V48" i="8"/>
  <c r="U48" i="8"/>
  <c r="K48" i="8"/>
  <c r="J48" i="8"/>
  <c r="I48" i="8"/>
  <c r="W47" i="8"/>
  <c r="V47" i="8"/>
  <c r="U47" i="8"/>
  <c r="K47" i="8"/>
  <c r="J47" i="8"/>
  <c r="I47" i="8"/>
  <c r="W46" i="8"/>
  <c r="V46" i="8"/>
  <c r="U46" i="8"/>
  <c r="K46" i="8"/>
  <c r="J46" i="8"/>
  <c r="I46" i="8"/>
  <c r="W45" i="8"/>
  <c r="V45" i="8"/>
  <c r="U45" i="8"/>
  <c r="K45" i="8"/>
  <c r="J45" i="8"/>
  <c r="I45" i="8"/>
  <c r="W44" i="8"/>
  <c r="V44" i="8"/>
  <c r="U44" i="8"/>
  <c r="K44" i="8"/>
  <c r="J44" i="8"/>
  <c r="I44" i="8"/>
  <c r="AD43" i="8"/>
  <c r="AF43" i="8" s="1"/>
  <c r="W43" i="8"/>
  <c r="V43" i="8"/>
  <c r="U43" i="8"/>
  <c r="K43" i="8"/>
  <c r="J43" i="8"/>
  <c r="I43" i="8"/>
  <c r="AD42" i="8"/>
  <c r="AF42" i="8" s="1"/>
  <c r="W42" i="8"/>
  <c r="V42" i="8"/>
  <c r="U42" i="8"/>
  <c r="K42" i="8"/>
  <c r="J42" i="8"/>
  <c r="I42" i="8"/>
  <c r="AD41" i="8"/>
  <c r="AF41" i="8" s="1"/>
  <c r="W41" i="8"/>
  <c r="V41" i="8"/>
  <c r="U41" i="8"/>
  <c r="K41" i="8"/>
  <c r="J41" i="8"/>
  <c r="I41" i="8"/>
  <c r="AD40" i="8"/>
  <c r="AF40" i="8" s="1"/>
  <c r="W40" i="8"/>
  <c r="V40" i="8"/>
  <c r="U40" i="8"/>
  <c r="K40" i="8"/>
  <c r="J40" i="8"/>
  <c r="I40" i="8"/>
  <c r="AD39" i="8"/>
  <c r="AF39" i="8" s="1"/>
  <c r="W39" i="8"/>
  <c r="V39" i="8"/>
  <c r="U39" i="8"/>
  <c r="K39" i="8"/>
  <c r="J39" i="8"/>
  <c r="I39" i="8"/>
  <c r="AD38" i="8"/>
  <c r="AF38" i="8" s="1"/>
  <c r="W38" i="8"/>
  <c r="V38" i="8"/>
  <c r="U38" i="8"/>
  <c r="K38" i="8"/>
  <c r="J38" i="8"/>
  <c r="I38" i="8"/>
  <c r="AD37" i="8"/>
  <c r="AF37" i="8" s="1"/>
  <c r="W37" i="8"/>
  <c r="V37" i="8"/>
  <c r="U37" i="8"/>
  <c r="K37" i="8"/>
  <c r="J37" i="8"/>
  <c r="I37" i="8"/>
  <c r="AD36" i="8"/>
  <c r="AF36" i="8" s="1"/>
  <c r="W36" i="8"/>
  <c r="V36" i="8"/>
  <c r="U36" i="8"/>
  <c r="K36" i="8"/>
  <c r="J36" i="8"/>
  <c r="I36" i="8"/>
  <c r="AD35" i="8"/>
  <c r="AF35" i="8" s="1"/>
  <c r="W35" i="8"/>
  <c r="V35" i="8"/>
  <c r="U35" i="8"/>
  <c r="K35" i="8"/>
  <c r="J35" i="8"/>
  <c r="I35" i="8"/>
  <c r="AD34" i="8"/>
  <c r="AF34" i="8" s="1"/>
  <c r="W34" i="8"/>
  <c r="V34" i="8"/>
  <c r="U34" i="8"/>
  <c r="K34" i="8"/>
  <c r="J34" i="8"/>
  <c r="I34" i="8"/>
  <c r="C35" i="6" l="1"/>
  <c r="D35" i="6" s="1"/>
  <c r="E35" i="6" s="1"/>
  <c r="G74" i="11" l="1"/>
  <c r="G75" i="11"/>
  <c r="G76" i="11"/>
  <c r="G73" i="11"/>
  <c r="G78" i="8"/>
  <c r="G82" i="8"/>
  <c r="G86" i="8"/>
  <c r="G79" i="8"/>
  <c r="G83" i="8"/>
  <c r="G87" i="8"/>
  <c r="G80" i="8"/>
  <c r="G84" i="8"/>
  <c r="G88" i="8"/>
  <c r="G89" i="8"/>
  <c r="G81" i="8"/>
  <c r="G85" i="8"/>
  <c r="H85" i="8" l="1"/>
  <c r="L85" i="8" s="1"/>
  <c r="M85" i="8" s="1"/>
  <c r="T85" i="8"/>
  <c r="X85" i="8" s="1"/>
  <c r="T84" i="8"/>
  <c r="X84" i="8" s="1"/>
  <c r="H84" i="8"/>
  <c r="L84" i="8" s="1"/>
  <c r="T79" i="8"/>
  <c r="X79" i="8" s="1"/>
  <c r="H79" i="8"/>
  <c r="L79" i="8" s="1"/>
  <c r="T73" i="11"/>
  <c r="X73" i="11" s="1"/>
  <c r="H73" i="11"/>
  <c r="L73" i="11" s="1"/>
  <c r="H81" i="8"/>
  <c r="L81" i="8" s="1"/>
  <c r="M81" i="8" s="1"/>
  <c r="T81" i="8"/>
  <c r="X81" i="8" s="1"/>
  <c r="T80" i="8"/>
  <c r="X80" i="8" s="1"/>
  <c r="H80" i="8"/>
  <c r="L80" i="8" s="1"/>
  <c r="T86" i="8"/>
  <c r="X86" i="8" s="1"/>
  <c r="H86" i="8"/>
  <c r="L86" i="8" s="1"/>
  <c r="T76" i="11"/>
  <c r="X76" i="11" s="1"/>
  <c r="H76" i="11"/>
  <c r="L76" i="11" s="1"/>
  <c r="H89" i="8"/>
  <c r="L89" i="8" s="1"/>
  <c r="M89" i="8" s="1"/>
  <c r="T89" i="8"/>
  <c r="X89" i="8" s="1"/>
  <c r="T87" i="8"/>
  <c r="X87" i="8" s="1"/>
  <c r="H87" i="8"/>
  <c r="L87" i="8" s="1"/>
  <c r="T82" i="8"/>
  <c r="X82" i="8" s="1"/>
  <c r="H82" i="8"/>
  <c r="L82" i="8" s="1"/>
  <c r="T75" i="11"/>
  <c r="X75" i="11" s="1"/>
  <c r="H75" i="11"/>
  <c r="L75" i="11" s="1"/>
  <c r="T88" i="8"/>
  <c r="X88" i="8" s="1"/>
  <c r="H88" i="8"/>
  <c r="L88" i="8" s="1"/>
  <c r="T83" i="8"/>
  <c r="X83" i="8" s="1"/>
  <c r="H83" i="8"/>
  <c r="L83" i="8" s="1"/>
  <c r="T78" i="8"/>
  <c r="X78" i="8" s="1"/>
  <c r="H78" i="8"/>
  <c r="L78" i="8" s="1"/>
  <c r="T74" i="11"/>
  <c r="X74" i="11" s="1"/>
  <c r="H74" i="11"/>
  <c r="L74" i="11" s="1"/>
  <c r="AF34" i="3"/>
  <c r="AD35" i="3"/>
  <c r="AF35" i="3" s="1"/>
  <c r="AD36" i="3"/>
  <c r="AF36" i="3" s="1"/>
  <c r="AD37" i="3"/>
  <c r="AF37" i="3" s="1"/>
  <c r="AD38" i="3"/>
  <c r="AF38" i="3" s="1"/>
  <c r="AD39" i="3"/>
  <c r="AF39" i="3" s="1"/>
  <c r="AD40" i="3"/>
  <c r="AF40" i="3" s="1"/>
  <c r="AD41" i="3"/>
  <c r="AF41" i="3" s="1"/>
  <c r="AD42" i="3"/>
  <c r="AF42" i="3" s="1"/>
  <c r="AD43" i="3"/>
  <c r="AF43" i="3" s="1"/>
  <c r="Y89" i="8" l="1"/>
  <c r="Y81" i="8"/>
  <c r="Y85" i="8"/>
  <c r="M74" i="11"/>
  <c r="Y74" i="11"/>
  <c r="M83" i="8"/>
  <c r="Y83" i="8"/>
  <c r="M75" i="11"/>
  <c r="Y75" i="11"/>
  <c r="M87" i="8"/>
  <c r="Y87" i="8"/>
  <c r="M76" i="11"/>
  <c r="Y76" i="11"/>
  <c r="M80" i="8"/>
  <c r="Y80" i="8"/>
  <c r="M73" i="11"/>
  <c r="Y73" i="11"/>
  <c r="M84" i="8"/>
  <c r="Y84" i="8"/>
  <c r="Y78" i="8"/>
  <c r="M78" i="8"/>
  <c r="M88" i="8"/>
  <c r="Y88" i="8"/>
  <c r="M82" i="8"/>
  <c r="Y82" i="8"/>
  <c r="Y86" i="8"/>
  <c r="M86" i="8"/>
  <c r="M79" i="8"/>
  <c r="Y79" i="8"/>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I67" i="3" l="1"/>
  <c r="I41" i="3"/>
  <c r="I58" i="3"/>
  <c r="I57" i="3"/>
  <c r="I72" i="3"/>
  <c r="I71" i="3"/>
  <c r="I56" i="3"/>
  <c r="I51" i="3"/>
  <c r="I50" i="3"/>
  <c r="I49" i="3"/>
  <c r="I48" i="3"/>
  <c r="I47" i="3"/>
  <c r="I66" i="3"/>
  <c r="I70" i="3"/>
  <c r="I65" i="3"/>
  <c r="I64" i="3"/>
  <c r="I40" i="3"/>
  <c r="I63" i="3"/>
  <c r="I55" i="3"/>
  <c r="I69" i="3"/>
  <c r="I39" i="3"/>
  <c r="I62" i="3"/>
  <c r="I46" i="3"/>
  <c r="I45" i="3"/>
  <c r="I61" i="3"/>
  <c r="I38" i="3"/>
  <c r="I37" i="3"/>
  <c r="I36" i="3"/>
  <c r="I35" i="3"/>
  <c r="I76" i="3"/>
  <c r="I54" i="3"/>
  <c r="I44" i="3"/>
  <c r="I75" i="3"/>
  <c r="I68" i="3"/>
  <c r="I53" i="3"/>
  <c r="I34" i="3"/>
  <c r="I43" i="3"/>
  <c r="I74" i="3"/>
  <c r="I73" i="3"/>
  <c r="I60" i="3"/>
  <c r="I59" i="3"/>
  <c r="I52" i="3"/>
  <c r="K42" i="3"/>
  <c r="K52" i="3"/>
  <c r="K59" i="3"/>
  <c r="K60" i="3"/>
  <c r="K73" i="3"/>
  <c r="K74" i="3"/>
  <c r="K43" i="3"/>
  <c r="K34" i="3"/>
  <c r="K53" i="3"/>
  <c r="K68" i="3"/>
  <c r="K75" i="3"/>
  <c r="K44" i="3"/>
  <c r="K54" i="3"/>
  <c r="K76" i="3"/>
  <c r="K35" i="3"/>
  <c r="K36" i="3"/>
  <c r="K37" i="3"/>
  <c r="K38" i="3"/>
  <c r="K61" i="3"/>
  <c r="K45" i="3"/>
  <c r="K46" i="3"/>
  <c r="K62" i="3"/>
  <c r="K39" i="3"/>
  <c r="K69" i="3"/>
  <c r="K55" i="3"/>
  <c r="K63" i="3"/>
  <c r="K40" i="3"/>
  <c r="K64" i="3"/>
  <c r="K65" i="3"/>
  <c r="K70" i="3"/>
  <c r="K66" i="3"/>
  <c r="K47" i="3"/>
  <c r="K48" i="3"/>
  <c r="K49" i="3"/>
  <c r="K50" i="3"/>
  <c r="K51" i="3"/>
  <c r="K56" i="3"/>
  <c r="K71" i="3"/>
  <c r="K72" i="3"/>
  <c r="K57" i="3"/>
  <c r="K58" i="3"/>
  <c r="K41" i="3"/>
  <c r="K67" i="3"/>
  <c r="J42" i="3"/>
  <c r="J52" i="3"/>
  <c r="J59" i="3"/>
  <c r="J60" i="3"/>
  <c r="J73" i="3"/>
  <c r="J74" i="3"/>
  <c r="J43" i="3"/>
  <c r="J34" i="3"/>
  <c r="J53" i="3"/>
  <c r="J68" i="3"/>
  <c r="J75" i="3"/>
  <c r="J44" i="3"/>
  <c r="J54" i="3"/>
  <c r="J76" i="3"/>
  <c r="J35" i="3"/>
  <c r="J36" i="3"/>
  <c r="J37" i="3"/>
  <c r="J38" i="3"/>
  <c r="J61" i="3"/>
  <c r="J45" i="3"/>
  <c r="J46" i="3"/>
  <c r="J62" i="3"/>
  <c r="J39" i="3"/>
  <c r="J69" i="3"/>
  <c r="J55" i="3"/>
  <c r="J63" i="3"/>
  <c r="J40" i="3"/>
  <c r="J64" i="3"/>
  <c r="J65" i="3"/>
  <c r="J70" i="3"/>
  <c r="J66" i="3"/>
  <c r="J47" i="3"/>
  <c r="J48" i="3"/>
  <c r="J49" i="3"/>
  <c r="J50" i="3"/>
  <c r="J51" i="3"/>
  <c r="J56" i="3"/>
  <c r="J71" i="3"/>
  <c r="J72" i="3"/>
  <c r="J57" i="3"/>
  <c r="J58" i="3"/>
  <c r="J41" i="3"/>
  <c r="J67" i="3"/>
  <c r="I42" i="3"/>
  <c r="D36" i="6" l="1"/>
  <c r="E36" i="6" s="1"/>
  <c r="D37" i="6"/>
  <c r="E37" i="6" s="1"/>
  <c r="D38" i="6"/>
  <c r="E38" i="6" s="1"/>
  <c r="G34" i="8" s="1"/>
  <c r="D39" i="6"/>
  <c r="E39" i="6" s="1"/>
  <c r="D40" i="6"/>
  <c r="E40" i="6" s="1"/>
  <c r="D41" i="6"/>
  <c r="E41" i="6" s="1"/>
  <c r="G58" i="11" l="1"/>
  <c r="G54" i="11"/>
  <c r="G59" i="11"/>
  <c r="G51" i="11"/>
  <c r="G52" i="11"/>
  <c r="G61" i="11"/>
  <c r="G53" i="11"/>
  <c r="G76" i="8"/>
  <c r="G74" i="8"/>
  <c r="G43" i="8"/>
  <c r="G75" i="8"/>
  <c r="G73" i="8"/>
  <c r="G42" i="8"/>
  <c r="G40" i="8"/>
  <c r="G39" i="8"/>
  <c r="G41" i="8"/>
  <c r="G62" i="11"/>
  <c r="G50" i="11"/>
  <c r="G63" i="11"/>
  <c r="G55" i="11"/>
  <c r="G56" i="11"/>
  <c r="G57" i="11"/>
  <c r="G66" i="8"/>
  <c r="G50" i="8"/>
  <c r="G46" i="8"/>
  <c r="G69" i="8"/>
  <c r="G67" i="8"/>
  <c r="G65" i="8"/>
  <c r="G77" i="8"/>
  <c r="G66" i="11"/>
  <c r="G46" i="11"/>
  <c r="G40" i="11"/>
  <c r="G39" i="11"/>
  <c r="G34" i="11"/>
  <c r="G47" i="11"/>
  <c r="G60" i="11"/>
  <c r="G48" i="11"/>
  <c r="G44" i="11"/>
  <c r="G43" i="11"/>
  <c r="G35" i="11"/>
  <c r="G49" i="11"/>
  <c r="G45" i="11"/>
  <c r="G72" i="8"/>
  <c r="G70" i="8"/>
  <c r="G48" i="8"/>
  <c r="G44" i="8"/>
  <c r="G71" i="8"/>
  <c r="G49" i="8"/>
  <c r="G35" i="8"/>
  <c r="G70" i="11"/>
  <c r="G41" i="11"/>
  <c r="G71" i="11"/>
  <c r="G67" i="11"/>
  <c r="G72" i="11"/>
  <c r="G68" i="11"/>
  <c r="G64" i="11"/>
  <c r="G42" i="11"/>
  <c r="G69" i="11"/>
  <c r="G65" i="11"/>
  <c r="G60" i="8"/>
  <c r="G58" i="8"/>
  <c r="G56" i="8"/>
  <c r="G54" i="8"/>
  <c r="G52" i="8"/>
  <c r="G59" i="8"/>
  <c r="G57" i="8"/>
  <c r="G55" i="8"/>
  <c r="G53" i="8"/>
  <c r="G51" i="8"/>
  <c r="G47" i="8"/>
  <c r="G38" i="11"/>
  <c r="G37" i="11"/>
  <c r="G36" i="11"/>
  <c r="G68" i="8"/>
  <c r="G64" i="8"/>
  <c r="G62" i="8"/>
  <c r="G63" i="8"/>
  <c r="G61" i="8"/>
  <c r="G45" i="8"/>
  <c r="G36" i="8"/>
  <c r="G38" i="8"/>
  <c r="G37" i="8"/>
  <c r="G38" i="3"/>
  <c r="G37" i="3"/>
  <c r="G36" i="3"/>
  <c r="G54" i="3"/>
  <c r="G58" i="3"/>
  <c r="G61" i="3"/>
  <c r="G51" i="3"/>
  <c r="G59" i="3"/>
  <c r="G53" i="3"/>
  <c r="G52" i="3"/>
  <c r="G50" i="3"/>
  <c r="G62" i="3"/>
  <c r="G55" i="3"/>
  <c r="G63" i="3"/>
  <c r="G56" i="3"/>
  <c r="G57" i="3"/>
  <c r="G74" i="3"/>
  <c r="G73" i="3"/>
  <c r="G75" i="3"/>
  <c r="G76" i="3"/>
  <c r="G42" i="3"/>
  <c r="G70" i="3"/>
  <c r="G67" i="3"/>
  <c r="T67" i="3" s="1"/>
  <c r="G71" i="3"/>
  <c r="G41" i="3"/>
  <c r="G65" i="3"/>
  <c r="G64" i="3"/>
  <c r="G68" i="3"/>
  <c r="G72" i="3"/>
  <c r="G69" i="3"/>
  <c r="G34" i="3"/>
  <c r="H34" i="3" s="1"/>
  <c r="L34" i="3" s="1"/>
  <c r="G46" i="3"/>
  <c r="G66" i="3"/>
  <c r="G49" i="3"/>
  <c r="G35" i="3"/>
  <c r="G39" i="3"/>
  <c r="G43" i="3"/>
  <c r="G47" i="3"/>
  <c r="G40" i="3"/>
  <c r="G44" i="3"/>
  <c r="G48" i="3"/>
  <c r="G60" i="3"/>
  <c r="G45" i="3"/>
  <c r="T45" i="8" l="1"/>
  <c r="X45" i="8" s="1"/>
  <c r="H45" i="8"/>
  <c r="L45" i="8" s="1"/>
  <c r="T64" i="8"/>
  <c r="X64" i="8" s="1"/>
  <c r="H64" i="8"/>
  <c r="L64" i="8" s="1"/>
  <c r="H38" i="11"/>
  <c r="L38" i="11" s="1"/>
  <c r="T38" i="11"/>
  <c r="X38" i="11" s="1"/>
  <c r="T55" i="8"/>
  <c r="X55" i="8" s="1"/>
  <c r="H55" i="8"/>
  <c r="L55" i="8" s="1"/>
  <c r="M55" i="8" s="1"/>
  <c r="H54" i="8"/>
  <c r="L54" i="8" s="1"/>
  <c r="T54" i="8"/>
  <c r="X54" i="8" s="1"/>
  <c r="T65" i="11"/>
  <c r="X65" i="11" s="1"/>
  <c r="H65" i="11"/>
  <c r="L65" i="11" s="1"/>
  <c r="T68" i="11"/>
  <c r="X68" i="11" s="1"/>
  <c r="H68" i="11"/>
  <c r="L68" i="11" s="1"/>
  <c r="T41" i="11"/>
  <c r="X41" i="11" s="1"/>
  <c r="H41" i="11"/>
  <c r="L41" i="11" s="1"/>
  <c r="T49" i="8"/>
  <c r="X49" i="8" s="1"/>
  <c r="H49" i="8"/>
  <c r="L49" i="8" s="1"/>
  <c r="H70" i="8"/>
  <c r="L70" i="8" s="1"/>
  <c r="T70" i="8"/>
  <c r="X70" i="8" s="1"/>
  <c r="T35" i="11"/>
  <c r="X35" i="11" s="1"/>
  <c r="H35" i="11"/>
  <c r="L35" i="11" s="1"/>
  <c r="T60" i="11"/>
  <c r="X60" i="11" s="1"/>
  <c r="H60" i="11"/>
  <c r="L60" i="11" s="1"/>
  <c r="T40" i="11"/>
  <c r="X40" i="11" s="1"/>
  <c r="H40" i="11"/>
  <c r="L40" i="11" s="1"/>
  <c r="T65" i="8"/>
  <c r="X65" i="8" s="1"/>
  <c r="H65" i="8"/>
  <c r="L65" i="8" s="1"/>
  <c r="H50" i="8"/>
  <c r="L50" i="8" s="1"/>
  <c r="T50" i="8"/>
  <c r="X50" i="8" s="1"/>
  <c r="H55" i="11"/>
  <c r="L55" i="11" s="1"/>
  <c r="T55" i="11"/>
  <c r="X55" i="11" s="1"/>
  <c r="H41" i="8"/>
  <c r="L41" i="8" s="1"/>
  <c r="T41" i="8"/>
  <c r="X41" i="8" s="1"/>
  <c r="T73" i="8"/>
  <c r="X73" i="8" s="1"/>
  <c r="H73" i="8"/>
  <c r="L73" i="8" s="1"/>
  <c r="T76" i="8"/>
  <c r="X76" i="8" s="1"/>
  <c r="H76" i="8"/>
  <c r="L76" i="8" s="1"/>
  <c r="H51" i="11"/>
  <c r="L51" i="11" s="1"/>
  <c r="T51" i="11"/>
  <c r="X51" i="11" s="1"/>
  <c r="H37" i="8"/>
  <c r="L37" i="8" s="1"/>
  <c r="T37" i="8"/>
  <c r="X37" i="8" s="1"/>
  <c r="T61" i="8"/>
  <c r="X61" i="8" s="1"/>
  <c r="H61" i="8"/>
  <c r="L61" i="8" s="1"/>
  <c r="T68" i="8"/>
  <c r="X68" i="8" s="1"/>
  <c r="H68" i="8"/>
  <c r="L68" i="8" s="1"/>
  <c r="T47" i="8"/>
  <c r="X47" i="8" s="1"/>
  <c r="H47" i="8"/>
  <c r="L47" i="8" s="1"/>
  <c r="M47" i="8" s="1"/>
  <c r="T57" i="8"/>
  <c r="X57" i="8" s="1"/>
  <c r="H57" i="8"/>
  <c r="L57" i="8" s="1"/>
  <c r="T56" i="8"/>
  <c r="X56" i="8" s="1"/>
  <c r="H56" i="8"/>
  <c r="L56" i="8" s="1"/>
  <c r="T69" i="11"/>
  <c r="X69" i="11" s="1"/>
  <c r="H69" i="11"/>
  <c r="L69" i="11" s="1"/>
  <c r="T72" i="11"/>
  <c r="X72" i="11" s="1"/>
  <c r="H72" i="11"/>
  <c r="L72" i="11" s="1"/>
  <c r="T70" i="11"/>
  <c r="X70" i="11" s="1"/>
  <c r="H70" i="11"/>
  <c r="L70" i="11" s="1"/>
  <c r="M70" i="11" s="1"/>
  <c r="T71" i="8"/>
  <c r="X71" i="8" s="1"/>
  <c r="H71" i="8"/>
  <c r="L71" i="8" s="1"/>
  <c r="T72" i="8"/>
  <c r="X72" i="8" s="1"/>
  <c r="H72" i="8"/>
  <c r="L72" i="8" s="1"/>
  <c r="T43" i="11"/>
  <c r="X43" i="11" s="1"/>
  <c r="H43" i="11"/>
  <c r="L43" i="11" s="1"/>
  <c r="M43" i="11" s="1"/>
  <c r="H47" i="11"/>
  <c r="L47" i="11" s="1"/>
  <c r="T47" i="11"/>
  <c r="X47" i="11" s="1"/>
  <c r="T46" i="11"/>
  <c r="X46" i="11" s="1"/>
  <c r="H46" i="11"/>
  <c r="L46" i="11" s="1"/>
  <c r="T67" i="8"/>
  <c r="X67" i="8" s="1"/>
  <c r="H67" i="8"/>
  <c r="L67" i="8" s="1"/>
  <c r="M67" i="8" s="1"/>
  <c r="H66" i="8"/>
  <c r="L66" i="8" s="1"/>
  <c r="T66" i="8"/>
  <c r="X66" i="8" s="1"/>
  <c r="H63" i="11"/>
  <c r="L63" i="11" s="1"/>
  <c r="T63" i="11"/>
  <c r="X63" i="11" s="1"/>
  <c r="T39" i="8"/>
  <c r="X39" i="8" s="1"/>
  <c r="H39" i="8"/>
  <c r="L39" i="8" s="1"/>
  <c r="T75" i="8"/>
  <c r="X75" i="8" s="1"/>
  <c r="H75" i="8"/>
  <c r="L75" i="8" s="1"/>
  <c r="T53" i="11"/>
  <c r="X53" i="11" s="1"/>
  <c r="H53" i="11"/>
  <c r="L53" i="11" s="1"/>
  <c r="H59" i="11"/>
  <c r="L59" i="11" s="1"/>
  <c r="T59" i="11"/>
  <c r="X59" i="11" s="1"/>
  <c r="H38" i="8"/>
  <c r="L38" i="8" s="1"/>
  <c r="T38" i="8"/>
  <c r="X38" i="8" s="1"/>
  <c r="T63" i="8"/>
  <c r="X63" i="8" s="1"/>
  <c r="H63" i="8"/>
  <c r="L63" i="8" s="1"/>
  <c r="M63" i="8" s="1"/>
  <c r="T36" i="11"/>
  <c r="X36" i="11" s="1"/>
  <c r="H36" i="11"/>
  <c r="L36" i="11" s="1"/>
  <c r="T51" i="8"/>
  <c r="X51" i="8" s="1"/>
  <c r="H51" i="8"/>
  <c r="L51" i="8" s="1"/>
  <c r="M51" i="8" s="1"/>
  <c r="T59" i="8"/>
  <c r="X59" i="8" s="1"/>
  <c r="H59" i="8"/>
  <c r="L59" i="8" s="1"/>
  <c r="M59" i="8" s="1"/>
  <c r="H58" i="8"/>
  <c r="L58" i="8" s="1"/>
  <c r="T58" i="8"/>
  <c r="X58" i="8" s="1"/>
  <c r="H42" i="11"/>
  <c r="L42" i="11" s="1"/>
  <c r="T42" i="11"/>
  <c r="X42" i="11" s="1"/>
  <c r="H67" i="11"/>
  <c r="L67" i="11" s="1"/>
  <c r="T67" i="11"/>
  <c r="X67" i="11" s="1"/>
  <c r="T34" i="8"/>
  <c r="X34" i="8" s="1"/>
  <c r="H34" i="8"/>
  <c r="L34" i="8" s="1"/>
  <c r="T44" i="8"/>
  <c r="X44" i="8" s="1"/>
  <c r="H44" i="8"/>
  <c r="L44" i="8" s="1"/>
  <c r="T45" i="11"/>
  <c r="X45" i="11" s="1"/>
  <c r="H45" i="11"/>
  <c r="L45" i="11" s="1"/>
  <c r="T44" i="11"/>
  <c r="X44" i="11" s="1"/>
  <c r="H44" i="11"/>
  <c r="L44" i="11" s="1"/>
  <c r="H34" i="11"/>
  <c r="L34" i="11" s="1"/>
  <c r="T34" i="11"/>
  <c r="X34" i="11" s="1"/>
  <c r="T66" i="11"/>
  <c r="X66" i="11" s="1"/>
  <c r="H66" i="11"/>
  <c r="L66" i="11" s="1"/>
  <c r="T69" i="8"/>
  <c r="X69" i="8" s="1"/>
  <c r="H69" i="8"/>
  <c r="L69" i="8" s="1"/>
  <c r="T57" i="11"/>
  <c r="X57" i="11" s="1"/>
  <c r="H57" i="11"/>
  <c r="L57" i="11" s="1"/>
  <c r="T50" i="11"/>
  <c r="X50" i="11" s="1"/>
  <c r="H50" i="11"/>
  <c r="L50" i="11" s="1"/>
  <c r="T40" i="8"/>
  <c r="X40" i="8" s="1"/>
  <c r="H40" i="8"/>
  <c r="L40" i="8" s="1"/>
  <c r="T43" i="8"/>
  <c r="X43" i="8" s="1"/>
  <c r="H43" i="8"/>
  <c r="L43" i="8" s="1"/>
  <c r="M43" i="8" s="1"/>
  <c r="T61" i="11"/>
  <c r="X61" i="11" s="1"/>
  <c r="H61" i="11"/>
  <c r="L61" i="11" s="1"/>
  <c r="T54" i="11"/>
  <c r="X54" i="11" s="1"/>
  <c r="H54" i="11"/>
  <c r="L54" i="11" s="1"/>
  <c r="M54" i="11" s="1"/>
  <c r="H36" i="8"/>
  <c r="L36" i="8" s="1"/>
  <c r="T36" i="8"/>
  <c r="X36" i="8" s="1"/>
  <c r="H62" i="8"/>
  <c r="L62" i="8" s="1"/>
  <c r="T62" i="8"/>
  <c r="X62" i="8" s="1"/>
  <c r="T37" i="11"/>
  <c r="X37" i="11" s="1"/>
  <c r="H37" i="11"/>
  <c r="L37" i="11" s="1"/>
  <c r="T53" i="8"/>
  <c r="X53" i="8" s="1"/>
  <c r="H53" i="8"/>
  <c r="L53" i="8" s="1"/>
  <c r="T52" i="8"/>
  <c r="X52" i="8" s="1"/>
  <c r="H52" i="8"/>
  <c r="L52" i="8" s="1"/>
  <c r="T60" i="8"/>
  <c r="X60" i="8" s="1"/>
  <c r="H60" i="8"/>
  <c r="L60" i="8" s="1"/>
  <c r="T64" i="11"/>
  <c r="X64" i="11" s="1"/>
  <c r="H64" i="11"/>
  <c r="L64" i="11" s="1"/>
  <c r="H71" i="11"/>
  <c r="L71" i="11" s="1"/>
  <c r="T71" i="11"/>
  <c r="X71" i="11" s="1"/>
  <c r="T35" i="8"/>
  <c r="X35" i="8" s="1"/>
  <c r="H35" i="8"/>
  <c r="L35" i="8" s="1"/>
  <c r="T48" i="8"/>
  <c r="X48" i="8" s="1"/>
  <c r="H48" i="8"/>
  <c r="L48" i="8" s="1"/>
  <c r="T49" i="11"/>
  <c r="X49" i="11" s="1"/>
  <c r="H49" i="11"/>
  <c r="L49" i="11" s="1"/>
  <c r="T48" i="11"/>
  <c r="X48" i="11" s="1"/>
  <c r="H48" i="11"/>
  <c r="L48" i="11" s="1"/>
  <c r="T39" i="11"/>
  <c r="X39" i="11" s="1"/>
  <c r="H39" i="11"/>
  <c r="L39" i="11" s="1"/>
  <c r="H77" i="8"/>
  <c r="L77" i="8" s="1"/>
  <c r="M77" i="8" s="1"/>
  <c r="T77" i="8"/>
  <c r="X77" i="8" s="1"/>
  <c r="H46" i="8"/>
  <c r="L46" i="8" s="1"/>
  <c r="T46" i="8"/>
  <c r="X46" i="8" s="1"/>
  <c r="T56" i="11"/>
  <c r="X56" i="11" s="1"/>
  <c r="H56" i="11"/>
  <c r="L56" i="11" s="1"/>
  <c r="T62" i="11"/>
  <c r="X62" i="11" s="1"/>
  <c r="H62" i="11"/>
  <c r="L62" i="11" s="1"/>
  <c r="H42" i="8"/>
  <c r="L42" i="8" s="1"/>
  <c r="T42" i="8"/>
  <c r="X42" i="8" s="1"/>
  <c r="H74" i="8"/>
  <c r="L74" i="8" s="1"/>
  <c r="T74" i="8"/>
  <c r="X74" i="8" s="1"/>
  <c r="T52" i="11"/>
  <c r="X52" i="11" s="1"/>
  <c r="H52" i="11"/>
  <c r="L52" i="11" s="1"/>
  <c r="T58" i="11"/>
  <c r="X58" i="11" s="1"/>
  <c r="H58" i="11"/>
  <c r="L58" i="11" s="1"/>
  <c r="X67" i="3"/>
  <c r="H67" i="3"/>
  <c r="L67" i="3" s="1"/>
  <c r="H62" i="3"/>
  <c r="L62" i="3" s="1"/>
  <c r="T62" i="3"/>
  <c r="H41" i="3"/>
  <c r="L41" i="3" s="1"/>
  <c r="T41" i="3"/>
  <c r="H39" i="3"/>
  <c r="L39" i="3" s="1"/>
  <c r="T39" i="3"/>
  <c r="H45" i="3"/>
  <c r="L45" i="3" s="1"/>
  <c r="T45" i="3"/>
  <c r="H64" i="3"/>
  <c r="L64" i="3" s="1"/>
  <c r="T64" i="3"/>
  <c r="H69" i="3"/>
  <c r="L69" i="3" s="1"/>
  <c r="T69" i="3"/>
  <c r="H68" i="3"/>
  <c r="L68" i="3" s="1"/>
  <c r="T68" i="3"/>
  <c r="H70" i="3"/>
  <c r="L70" i="3" s="1"/>
  <c r="T70" i="3"/>
  <c r="H44" i="3"/>
  <c r="L44" i="3" s="1"/>
  <c r="T44" i="3"/>
  <c r="H75" i="3"/>
  <c r="L75" i="3" s="1"/>
  <c r="T75" i="3"/>
  <c r="H48" i="3"/>
  <c r="L48" i="3" s="1"/>
  <c r="T48" i="3"/>
  <c r="H53" i="3"/>
  <c r="L53" i="3" s="1"/>
  <c r="T53" i="3"/>
  <c r="H49" i="3"/>
  <c r="L49" i="3" s="1"/>
  <c r="T49" i="3"/>
  <c r="H46" i="3"/>
  <c r="L46" i="3" s="1"/>
  <c r="T46" i="3"/>
  <c r="H59" i="3"/>
  <c r="L59" i="3" s="1"/>
  <c r="T59" i="3"/>
  <c r="H37" i="3"/>
  <c r="L37" i="3" s="1"/>
  <c r="T37" i="3"/>
  <c r="T34" i="3"/>
  <c r="H66" i="3"/>
  <c r="L66" i="3" s="1"/>
  <c r="T66" i="3"/>
  <c r="H63" i="3"/>
  <c r="L63" i="3" s="1"/>
  <c r="T63" i="3"/>
  <c r="H72" i="3"/>
  <c r="L72" i="3" s="1"/>
  <c r="T72" i="3"/>
  <c r="H57" i="3"/>
  <c r="L57" i="3" s="1"/>
  <c r="T57" i="3"/>
  <c r="H71" i="3"/>
  <c r="L71" i="3" s="1"/>
  <c r="T71" i="3"/>
  <c r="H56" i="3"/>
  <c r="L56" i="3" s="1"/>
  <c r="T56" i="3"/>
  <c r="H52" i="3"/>
  <c r="L52" i="3" s="1"/>
  <c r="T52" i="3"/>
  <c r="H43" i="3"/>
  <c r="L43" i="3" s="1"/>
  <c r="T43" i="3"/>
  <c r="H47" i="3"/>
  <c r="L47" i="3" s="1"/>
  <c r="T47" i="3"/>
  <c r="H76" i="3"/>
  <c r="L76" i="3" s="1"/>
  <c r="T76" i="3"/>
  <c r="H60" i="3"/>
  <c r="L60" i="3" s="1"/>
  <c r="T60" i="3"/>
  <c r="H38" i="3"/>
  <c r="L38" i="3" s="1"/>
  <c r="T38" i="3"/>
  <c r="H35" i="3"/>
  <c r="L35" i="3" s="1"/>
  <c r="T35" i="3"/>
  <c r="H74" i="3"/>
  <c r="L74" i="3" s="1"/>
  <c r="T74" i="3"/>
  <c r="H50" i="3"/>
  <c r="L50" i="3" s="1"/>
  <c r="T50" i="3"/>
  <c r="H65" i="3"/>
  <c r="L65" i="3" s="1"/>
  <c r="T65" i="3"/>
  <c r="H61" i="3"/>
  <c r="L61" i="3" s="1"/>
  <c r="T61" i="3"/>
  <c r="H58" i="3"/>
  <c r="L58" i="3" s="1"/>
  <c r="T58" i="3"/>
  <c r="H40" i="3"/>
  <c r="L40" i="3" s="1"/>
  <c r="T40" i="3"/>
  <c r="H54" i="3"/>
  <c r="L54" i="3" s="1"/>
  <c r="T54" i="3"/>
  <c r="H36" i="3"/>
  <c r="L36" i="3" s="1"/>
  <c r="T36" i="3"/>
  <c r="H55" i="3"/>
  <c r="L55" i="3" s="1"/>
  <c r="T55" i="3"/>
  <c r="H42" i="3"/>
  <c r="L42" i="3" s="1"/>
  <c r="T42" i="3"/>
  <c r="H51" i="3"/>
  <c r="L51" i="3" s="1"/>
  <c r="T51" i="3"/>
  <c r="H73" i="3"/>
  <c r="L73" i="3" s="1"/>
  <c r="T73" i="3"/>
  <c r="Y54" i="11" l="1"/>
  <c r="Y43" i="11"/>
  <c r="Y59" i="8"/>
  <c r="Y43" i="8"/>
  <c r="Y47" i="8"/>
  <c r="Y55" i="8"/>
  <c r="Y51" i="8"/>
  <c r="Y63" i="8"/>
  <c r="Y67" i="8"/>
  <c r="Y67" i="3"/>
  <c r="M52" i="11"/>
  <c r="Y52" i="11"/>
  <c r="M56" i="11"/>
  <c r="Y56" i="11"/>
  <c r="Y77" i="8"/>
  <c r="M48" i="11"/>
  <c r="Y48" i="11"/>
  <c r="Y48" i="8"/>
  <c r="M48" i="8"/>
  <c r="Y60" i="8"/>
  <c r="M60" i="8"/>
  <c r="M53" i="8"/>
  <c r="Y53" i="8"/>
  <c r="M50" i="11"/>
  <c r="Y50" i="11"/>
  <c r="Y69" i="8"/>
  <c r="M69" i="8"/>
  <c r="Y45" i="11"/>
  <c r="M45" i="11"/>
  <c r="M34" i="8"/>
  <c r="Y34" i="8"/>
  <c r="Y36" i="11"/>
  <c r="M36" i="11"/>
  <c r="M53" i="11"/>
  <c r="Y53" i="11"/>
  <c r="M39" i="8"/>
  <c r="Y39" i="8"/>
  <c r="M46" i="11"/>
  <c r="Y46" i="11"/>
  <c r="Y71" i="8"/>
  <c r="M71" i="8"/>
  <c r="M72" i="11"/>
  <c r="Y72" i="11"/>
  <c r="Y56" i="8"/>
  <c r="M56" i="8"/>
  <c r="M61" i="8"/>
  <c r="Y61" i="8"/>
  <c r="Y73" i="8"/>
  <c r="M73" i="8"/>
  <c r="Y65" i="8"/>
  <c r="M65" i="8"/>
  <c r="Y60" i="11"/>
  <c r="M60" i="11"/>
  <c r="M41" i="11"/>
  <c r="Y41" i="11"/>
  <c r="M65" i="11"/>
  <c r="Y65" i="11"/>
  <c r="Y64" i="8"/>
  <c r="M64" i="8"/>
  <c r="M42" i="8"/>
  <c r="Y42" i="8"/>
  <c r="Y71" i="11"/>
  <c r="M71" i="11"/>
  <c r="M62" i="8"/>
  <c r="Y62" i="8"/>
  <c r="M34" i="11"/>
  <c r="Y34" i="11"/>
  <c r="M42" i="11"/>
  <c r="Y42" i="11"/>
  <c r="M38" i="8"/>
  <c r="Y38" i="8"/>
  <c r="M66" i="8"/>
  <c r="Y66" i="8"/>
  <c r="M51" i="11"/>
  <c r="Y51" i="11"/>
  <c r="Y55" i="11"/>
  <c r="M55" i="11"/>
  <c r="M70" i="8"/>
  <c r="Y70" i="8"/>
  <c r="M58" i="11"/>
  <c r="Y58" i="11"/>
  <c r="M62" i="11"/>
  <c r="Y62" i="11"/>
  <c r="M39" i="11"/>
  <c r="Y39" i="11"/>
  <c r="Y49" i="11"/>
  <c r="M49" i="11"/>
  <c r="M35" i="8"/>
  <c r="Y35" i="8"/>
  <c r="Y64" i="11"/>
  <c r="M64" i="11"/>
  <c r="Y52" i="8"/>
  <c r="M52" i="8"/>
  <c r="M37" i="11"/>
  <c r="Y37" i="11"/>
  <c r="M61" i="11"/>
  <c r="Y61" i="11"/>
  <c r="Y40" i="8"/>
  <c r="M40" i="8"/>
  <c r="Y57" i="11"/>
  <c r="M57" i="11"/>
  <c r="M66" i="11"/>
  <c r="Y66" i="11"/>
  <c r="M44" i="11"/>
  <c r="Y44" i="11"/>
  <c r="Y44" i="8"/>
  <c r="M44" i="8"/>
  <c r="M75" i="8"/>
  <c r="Y75" i="8"/>
  <c r="Y72" i="8"/>
  <c r="M72" i="8"/>
  <c r="Y69" i="11"/>
  <c r="M69" i="11"/>
  <c r="Y57" i="8"/>
  <c r="M57" i="8"/>
  <c r="Y68" i="8"/>
  <c r="M68" i="8"/>
  <c r="Y76" i="8"/>
  <c r="M76" i="8"/>
  <c r="M40" i="11"/>
  <c r="Y40" i="11"/>
  <c r="M35" i="11"/>
  <c r="Y35" i="11"/>
  <c r="Y49" i="8"/>
  <c r="M49" i="8"/>
  <c r="Y68" i="11"/>
  <c r="M68" i="11"/>
  <c r="M45" i="8"/>
  <c r="Y45" i="8"/>
  <c r="M74" i="8"/>
  <c r="Y74" i="8"/>
  <c r="M46" i="8"/>
  <c r="Y46" i="8"/>
  <c r="Y36" i="8"/>
  <c r="M36" i="8"/>
  <c r="M67" i="11"/>
  <c r="Y67" i="11"/>
  <c r="M58" i="8"/>
  <c r="Y58" i="8"/>
  <c r="Y59" i="11"/>
  <c r="M59" i="11"/>
  <c r="M63" i="11"/>
  <c r="Y63" i="11"/>
  <c r="M47" i="11"/>
  <c r="Y47" i="11"/>
  <c r="Y70" i="11"/>
  <c r="Y37" i="8"/>
  <c r="M37" i="8"/>
  <c r="Y41" i="8"/>
  <c r="M41" i="8"/>
  <c r="M50" i="8"/>
  <c r="Y50" i="8"/>
  <c r="M54" i="8"/>
  <c r="Y54" i="8"/>
  <c r="Y38" i="11"/>
  <c r="M38" i="11"/>
  <c r="M67" i="3"/>
  <c r="X46" i="3"/>
  <c r="Y46" i="3" s="1"/>
  <c r="X53" i="3"/>
  <c r="Y53" i="3" s="1"/>
  <c r="X75" i="3"/>
  <c r="Y75" i="3" s="1"/>
  <c r="X70" i="3"/>
  <c r="Y70" i="3" s="1"/>
  <c r="X69" i="3"/>
  <c r="Y69" i="3" s="1"/>
  <c r="X45" i="3"/>
  <c r="Y45" i="3" s="1"/>
  <c r="X55" i="3"/>
  <c r="Y55" i="3" s="1"/>
  <c r="X73" i="3"/>
  <c r="Y73" i="3" s="1"/>
  <c r="X42" i="3"/>
  <c r="Y42" i="3" s="1"/>
  <c r="X61" i="3"/>
  <c r="Y61" i="3" s="1"/>
  <c r="X50" i="3"/>
  <c r="Y50" i="3" s="1"/>
  <c r="X60" i="3"/>
  <c r="Y60" i="3" s="1"/>
  <c r="X47" i="3"/>
  <c r="Y47" i="3" s="1"/>
  <c r="X52" i="3"/>
  <c r="Y52" i="3" s="1"/>
  <c r="X71" i="3"/>
  <c r="Y71" i="3" s="1"/>
  <c r="X72" i="3"/>
  <c r="Y72" i="3" s="1"/>
  <c r="X66" i="3"/>
  <c r="Y66" i="3" s="1"/>
  <c r="X59" i="3"/>
  <c r="Y59" i="3" s="1"/>
  <c r="X49" i="3"/>
  <c r="Y49" i="3" s="1"/>
  <c r="X48" i="3"/>
  <c r="Y48" i="3" s="1"/>
  <c r="X44" i="3"/>
  <c r="Y44" i="3" s="1"/>
  <c r="X68" i="3"/>
  <c r="Y68" i="3" s="1"/>
  <c r="X64" i="3"/>
  <c r="Y64" i="3" s="1"/>
  <c r="X62" i="3"/>
  <c r="Y62" i="3" s="1"/>
  <c r="X51" i="3"/>
  <c r="Y51" i="3" s="1"/>
  <c r="X54" i="3"/>
  <c r="Y54" i="3" s="1"/>
  <c r="X58" i="3"/>
  <c r="Y58" i="3" s="1"/>
  <c r="X65" i="3"/>
  <c r="Y65" i="3" s="1"/>
  <c r="X74" i="3"/>
  <c r="Y74" i="3" s="1"/>
  <c r="X76" i="3"/>
  <c r="Y76" i="3" s="1"/>
  <c r="X43" i="3"/>
  <c r="Y43" i="3" s="1"/>
  <c r="X56" i="3"/>
  <c r="Y56" i="3" s="1"/>
  <c r="X57" i="3"/>
  <c r="Y57" i="3" s="1"/>
  <c r="X63" i="3"/>
  <c r="Y63" i="3" s="1"/>
  <c r="X38" i="3"/>
  <c r="Y38" i="3" s="1"/>
  <c r="X34" i="3"/>
  <c r="Y34" i="3" s="1"/>
  <c r="X37" i="3"/>
  <c r="Y37" i="3" s="1"/>
  <c r="X41" i="3"/>
  <c r="Y41" i="3" s="1"/>
  <c r="X39" i="3"/>
  <c r="Y39" i="3" s="1"/>
  <c r="X36" i="3"/>
  <c r="Y36" i="3" s="1"/>
  <c r="X40" i="3"/>
  <c r="Y40" i="3" s="1"/>
  <c r="X35" i="3"/>
  <c r="Y35" i="3" s="1"/>
  <c r="M54" i="3"/>
  <c r="M65" i="3"/>
  <c r="M50" i="3"/>
  <c r="M43" i="3"/>
  <c r="M57" i="3"/>
  <c r="M46" i="3"/>
  <c r="M75" i="3"/>
  <c r="M68" i="3"/>
  <c r="M39" i="3"/>
  <c r="M42" i="3"/>
  <c r="M61" i="3"/>
  <c r="M74" i="3"/>
  <c r="M35" i="3"/>
  <c r="M52" i="3"/>
  <c r="M72" i="3"/>
  <c r="M34" i="3"/>
  <c r="M49" i="3"/>
  <c r="M70" i="3"/>
  <c r="M45" i="3"/>
  <c r="M41" i="3"/>
  <c r="M73" i="3"/>
  <c r="M36" i="3"/>
  <c r="M40" i="3"/>
  <c r="M60" i="3"/>
  <c r="M47" i="3"/>
  <c r="M71" i="3"/>
  <c r="M66" i="3"/>
  <c r="M59" i="3"/>
  <c r="M48" i="3"/>
  <c r="M69" i="3"/>
  <c r="M51" i="3"/>
  <c r="M55" i="3"/>
  <c r="M58" i="3"/>
  <c r="M38" i="3"/>
  <c r="M76" i="3"/>
  <c r="M56" i="3"/>
  <c r="M63" i="3"/>
  <c r="M37" i="3"/>
  <c r="M53" i="3"/>
  <c r="M44" i="3"/>
  <c r="M64" i="3"/>
  <c r="M6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Cronin</author>
  </authors>
  <commentList>
    <comment ref="E12" authorId="0" shapeId="0" xr:uid="{7FF5A817-389D-4035-9C71-9C4455F8FC91}">
      <text>
        <r>
          <rPr>
            <sz val="9"/>
            <color indexed="81"/>
            <rFont val="Tahoma"/>
            <family val="2"/>
          </rPr>
          <t>This enterprise could tolerate a loss up to $20,000.</t>
        </r>
      </text>
    </comment>
    <comment ref="E13" authorId="0" shapeId="0" xr:uid="{CE86A40F-80B7-47ED-B4DE-577E4786BFFE}">
      <text>
        <r>
          <rPr>
            <sz val="9"/>
            <color indexed="81"/>
            <rFont val="Tahoma"/>
            <family val="2"/>
          </rPr>
          <t>If this enterprise loses more than $1,000,000, they could not recover.</t>
        </r>
      </text>
    </comment>
    <comment ref="E21" authorId="0" shapeId="0" xr:uid="{944D4C4B-8110-4C55-8662-A8236BD89C01}">
      <text>
        <r>
          <rPr>
            <sz val="9"/>
            <color indexed="81"/>
            <rFont val="Tahoma"/>
            <family val="2"/>
          </rPr>
          <t>The highest obligations impact score that an asset could cause would be '3'.</t>
        </r>
      </text>
    </comment>
    <comment ref="E25" authorId="0" shapeId="0" xr:uid="{0510F474-1872-413A-8B20-EBC314353FC8}">
      <text>
        <r>
          <rPr>
            <sz val="9"/>
            <color indexed="81"/>
            <rFont val="Tahoma"/>
            <family val="2"/>
          </rPr>
          <t>If the network in this enterprise were compromised, the highest obligations impact it could create would be '2'.</t>
        </r>
      </text>
    </comment>
    <comment ref="R34" authorId="0" shapeId="0" xr:uid="{2E87C549-D9B2-43CF-9F68-B150F9DDDDA7}">
      <text>
        <r>
          <rPr>
            <sz val="9"/>
            <color indexed="81"/>
            <rFont val="Tahoma"/>
            <family val="2"/>
          </rPr>
          <t>The enterprise believes that implementing a network access control device will address multiple risks.</t>
        </r>
      </text>
    </comment>
    <comment ref="Y41" authorId="0" shapeId="0" xr:uid="{8AD78017-4CF3-40E7-BE1A-5BD210D5F2E6}">
      <text>
        <r>
          <rPr>
            <sz val="9"/>
            <color indexed="81"/>
            <rFont val="Tahoma"/>
            <family val="2"/>
          </rPr>
          <t>If the safeguard is implemented at maturity '4' the safeguard risk will still be too high. Using, auditing, and correcting PAM may not be enough, in this case. The enterprise may consider an automated approach to ensure that PAM is consistently enforced and automatically improved over time.</t>
        </r>
      </text>
    </comment>
  </commentList>
</comments>
</file>

<file path=xl/sharedStrings.xml><?xml version="1.0" encoding="utf-8"?>
<sst xmlns="http://schemas.openxmlformats.org/spreadsheetml/2006/main" count="1826" uniqueCount="464">
  <si>
    <t>Impact to Mission</t>
  </si>
  <si>
    <t>Impact to Obligations</t>
  </si>
  <si>
    <t>Risk Score</t>
  </si>
  <si>
    <t>Risk Level</t>
  </si>
  <si>
    <t>Definition</t>
  </si>
  <si>
    <t>Impact Scores</t>
  </si>
  <si>
    <t>Mission</t>
  </si>
  <si>
    <t>Acceptable Risk Score</t>
  </si>
  <si>
    <t>&lt;6</t>
  </si>
  <si>
    <t>Risk Acceptance Criteria</t>
  </si>
  <si>
    <t>All scores lower than '6' may be automatically accepted. All other risks must be reduced.</t>
  </si>
  <si>
    <t>Sum of Threat Count / Industry</t>
  </si>
  <si>
    <t>Percentage</t>
  </si>
  <si>
    <t>Maturity</t>
  </si>
  <si>
    <t>Index</t>
  </si>
  <si>
    <t>Maintain Detailed Asset Inventory</t>
  </si>
  <si>
    <t>Address Unauthorized Assets</t>
  </si>
  <si>
    <t>Maintain Inventory of Authorized Software</t>
  </si>
  <si>
    <t>Ensure Software is Supported by Vendor</t>
  </si>
  <si>
    <t>Deploy Automated Operating System Patch Management Tools</t>
  </si>
  <si>
    <t>Deploy Automated Software Patch Management Tools</t>
  </si>
  <si>
    <t>Change Default Passwords</t>
  </si>
  <si>
    <t>Ensure the Use of Dedicated Administrative Accounts</t>
  </si>
  <si>
    <t>Use Unique Passwords</t>
  </si>
  <si>
    <t>Establish Secure Configurations</t>
  </si>
  <si>
    <t>Ensure Use of Only Fully Supported Browsers and Email Clients</t>
  </si>
  <si>
    <t>Use of DNS Filtering Services</t>
  </si>
  <si>
    <t>Configure Anti-Malware Scanning of Removable Devices</t>
  </si>
  <si>
    <t>Perform Complete System Backups</t>
  </si>
  <si>
    <t>Maintain an Inventory of Network Boundaries</t>
  </si>
  <si>
    <t>Remove Sensitive Data or Systems Not Regularly Accessed by Organization</t>
  </si>
  <si>
    <t>Leverage the Advanced Encryption Standard (AES) to Encrypt Wireless Data</t>
  </si>
  <si>
    <t>Create Separate Wireless Network for Personal and Untrusted Devices</t>
  </si>
  <si>
    <t>Disable Any Unassociated Accounts</t>
  </si>
  <si>
    <t>Disable Dormant Accounts</t>
  </si>
  <si>
    <t>Lock Workstation Sessions After Inactivity</t>
  </si>
  <si>
    <t>Implement a Security Awareness Program</t>
  </si>
  <si>
    <t>Train Workforce on Secure Authentication</t>
  </si>
  <si>
    <t>Train Workforce on Identifying Social Engineering Attacks</t>
  </si>
  <si>
    <t>Train Workforce on Sensitive Data Handling</t>
  </si>
  <si>
    <t>Train Workforce on Causes of Unintentional Data Exposure</t>
  </si>
  <si>
    <t>Train Workforce Members on Identifying and Reporting Incidents</t>
  </si>
  <si>
    <t>Document Incident Response Procedures</t>
  </si>
  <si>
    <t>Designate Management Personnel to Support Incident Handling</t>
  </si>
  <si>
    <t>Maintain Contact Information For Reporting Security Incidents</t>
  </si>
  <si>
    <t>Publish Information Regarding Reporting Computer Anomalies and Incidents</t>
  </si>
  <si>
    <t>Mission Impact</t>
  </si>
  <si>
    <t>Obligations Impact</t>
  </si>
  <si>
    <t>Impact Criteria</t>
  </si>
  <si>
    <t>VCDB Index</t>
  </si>
  <si>
    <t>VCDB Index Weight Table</t>
  </si>
  <si>
    <t>Asset Class</t>
  </si>
  <si>
    <t>Obligations</t>
  </si>
  <si>
    <t>Scope</t>
  </si>
  <si>
    <t>Last Completed (Date)</t>
  </si>
  <si>
    <t>We would not be able to achieve our mission.</t>
  </si>
  <si>
    <t>We would achieve our mission.</t>
  </si>
  <si>
    <t>We would have to reinvest or correct the situation to achieve our mission.</t>
  </si>
  <si>
    <t>We would meet our objectives.</t>
  </si>
  <si>
    <t>We would have to reinvest or correct the situation to achieve our objectives.</t>
  </si>
  <si>
    <t>We would not be able to meet our objectives.</t>
  </si>
  <si>
    <t>1. Acceptable</t>
  </si>
  <si>
    <t>2. Unacceptable</t>
  </si>
  <si>
    <t>3. Catastrophic</t>
  </si>
  <si>
    <t>No harm would come to others.</t>
  </si>
  <si>
    <t xml:space="preserve">The harm that would come to others would be correctable. </t>
  </si>
  <si>
    <t>The harm that would come to others would not be correctable.</t>
  </si>
  <si>
    <t>The high dollar limit for each impact score.</t>
  </si>
  <si>
    <t>Risk Register</t>
  </si>
  <si>
    <t>Inherent Risk Criteria</t>
  </si>
  <si>
    <t>Risk Treatment Safeguard</t>
  </si>
  <si>
    <t>Implementation Year</t>
  </si>
  <si>
    <t>Year</t>
  </si>
  <si>
    <t>Reasonable?</t>
  </si>
  <si>
    <t>Risk Treatment
Safeguard Title</t>
  </si>
  <si>
    <t>Risk Treatment
Safeguard Description</t>
  </si>
  <si>
    <t>Risk Treatment Safeguard Impact to Mission</t>
  </si>
  <si>
    <t>Risk Treatment Safeguard Impact to Obligations</t>
  </si>
  <si>
    <t>Risk Treatment Safeguard Cost</t>
  </si>
  <si>
    <t>Risk Treatment Safeguard Risk Score</t>
  </si>
  <si>
    <t>This risk should be expected to cause a security incident at some time.</t>
  </si>
  <si>
    <t>We should expect this to happen soon, if it has not already occurred.</t>
  </si>
  <si>
    <t>Activate Audit Logging</t>
  </si>
  <si>
    <t>Ensure Anti-Malware Software and Signatures Are Updated</t>
  </si>
  <si>
    <t>Configure Devices to Not Auto-Run Content</t>
  </si>
  <si>
    <t>Apply Host-Based Firewalls or Port-Filtering</t>
  </si>
  <si>
    <t>Ensure Regular Automated BackUps</t>
  </si>
  <si>
    <t>Protect Backups</t>
  </si>
  <si>
    <t>Ensure All Backups Have at Least One Offline Backup Destination</t>
  </si>
  <si>
    <t>Install the Latest Stable Version of Any Security-Related Updates on All Network Devices</t>
  </si>
  <si>
    <t>Deny Communication Over Unauthorized Ports</t>
  </si>
  <si>
    <t>Maintain an Inventory of Sensitive Information</t>
  </si>
  <si>
    <t>Encrypt Mobile Device Data</t>
  </si>
  <si>
    <t>Protect Information Through Access Control Lists</t>
  </si>
  <si>
    <t>Establish and Maintain Detailed Enterprise Asset Inventory</t>
  </si>
  <si>
    <t>Establish and Maintain a Software Inventory</t>
  </si>
  <si>
    <t xml:space="preserve">Ensure Authorized Software is Currently Supported </t>
  </si>
  <si>
    <t>Address Unauthorized Software</t>
  </si>
  <si>
    <t>Establish and Maintain a Data Management Process</t>
  </si>
  <si>
    <t>Establish and Maintain a Data Inventory</t>
  </si>
  <si>
    <t>Configure Data Access Control Lists</t>
  </si>
  <si>
    <t>Enforce Data Retention</t>
  </si>
  <si>
    <t>Securely Dispose of Data</t>
  </si>
  <si>
    <t>Encrypt Data on End-User Devices</t>
  </si>
  <si>
    <t>Establish and Maintain a Secure Configuration Process</t>
  </si>
  <si>
    <t>Establish and Maintain a Secure Configuration Process for Network Infrastructure</t>
  </si>
  <si>
    <t>Configure Automatic Session Locking on Enterprise Assets</t>
  </si>
  <si>
    <t>Implement and Manage a Firewall on Servers</t>
  </si>
  <si>
    <t>Implement and Manage a Firewall on End-User Devices</t>
  </si>
  <si>
    <t>Securely Manage Enterprise Assets and Software</t>
  </si>
  <si>
    <t>Manage Default Accounts on Enterprise Assets and Software</t>
  </si>
  <si>
    <t>Establish and Maintain an Inventory of Accounts</t>
  </si>
  <si>
    <t>Restrict Administrator Privileges to Dedicated Administrator Accounts</t>
  </si>
  <si>
    <t>Establish an Access Granting Process</t>
  </si>
  <si>
    <t>Establish an Access Revoking Process</t>
  </si>
  <si>
    <t>Require MFA for Externally-Exposed Applications</t>
  </si>
  <si>
    <t>Require MFA for Remote Network Access</t>
  </si>
  <si>
    <t>Require MFA for Administrative Access</t>
  </si>
  <si>
    <t>Establish and Maintain a Vulnerability Management Process</t>
  </si>
  <si>
    <t>Establish and Maintain a Remediation Process</t>
  </si>
  <si>
    <t>Perform Automated Operating System Patch Management</t>
  </si>
  <si>
    <t>Perform Automated Application Patch Management</t>
  </si>
  <si>
    <t>Establish and Maintain an Audit Log Management Process</t>
  </si>
  <si>
    <t>Collect Audit Logs</t>
  </si>
  <si>
    <t>Ensure Adequate Audit Log Storage</t>
  </si>
  <si>
    <t>Use DNS Filtering Services</t>
  </si>
  <si>
    <t>Deploy and Maintain Anti-Malware Software</t>
  </si>
  <si>
    <t>Configure Automatic Anti-Malware Signature Updates</t>
  </si>
  <si>
    <t>Disable Autorun and Autoplay for Removable Media</t>
  </si>
  <si>
    <t>Establish and Maintain a Data Recovery Process </t>
  </si>
  <si>
    <t>Perform Automated Backups </t>
  </si>
  <si>
    <t>Protect Recovery Data</t>
  </si>
  <si>
    <t>Establish and Maintain an Isolated Instance of Recovery Data </t>
  </si>
  <si>
    <t>Ensure Network Infrastructure is Up-to-Date</t>
  </si>
  <si>
    <t>Establish and Maintain a Security Awareness Program</t>
  </si>
  <si>
    <t>Train Workforce Members to Recognize Social Engineering Attacks</t>
  </si>
  <si>
    <t>Train Workforce Members on Authentication Best Practices</t>
  </si>
  <si>
    <t>Train Workforce on Data Handling Best Practices</t>
  </si>
  <si>
    <t>Train Workforce Members on Causes of Unintentional Data Exposure</t>
  </si>
  <si>
    <t>Train Workforce Members on Recognizing and Reporting Security Incidents</t>
  </si>
  <si>
    <t>Train Workforce on How to Identify and Report if Their Enterprise Assets are Missing Security Updates</t>
  </si>
  <si>
    <t>Train Workforce on the Dangers of Connecting to and Transmitting Enterprise Data Over Insecure Networks</t>
  </si>
  <si>
    <t>Establish and Maintain an Inventory of Service Providers</t>
  </si>
  <si>
    <t>Designate Personnel to Manage Incident Handling</t>
  </si>
  <si>
    <t>Establish and Maintain Contact Information for Reporting Security Incidents</t>
  </si>
  <si>
    <t>Establish and Maintain an Enterprise Process for Reporting Incidents</t>
  </si>
  <si>
    <t>Data</t>
  </si>
  <si>
    <t>Devices</t>
  </si>
  <si>
    <t>Applications</t>
  </si>
  <si>
    <t>Network</t>
  </si>
  <si>
    <t>Users</t>
  </si>
  <si>
    <t>Enterprise</t>
  </si>
  <si>
    <t>Enterprise Name</t>
  </si>
  <si>
    <t>Operational Objectives</t>
  </si>
  <si>
    <t>Financial Objectives</t>
  </si>
  <si>
    <t>Operational Objectives Impact</t>
  </si>
  <si>
    <t>Impact to Operational Objectives</t>
  </si>
  <si>
    <t>Risk Treatment Safeguard Impact to Operational Objectives</t>
  </si>
  <si>
    <t>Impact to Financial Objectives</t>
  </si>
  <si>
    <t>Incident Count</t>
  </si>
  <si>
    <t>As of</t>
  </si>
  <si>
    <t>VCDB Index Lookup</t>
  </si>
  <si>
    <t>Unknown</t>
  </si>
  <si>
    <t>Implementation Quarter</t>
  </si>
  <si>
    <t>Q2</t>
  </si>
  <si>
    <t>Safeguard is not implemented or is inconsistently implemented.</t>
  </si>
  <si>
    <t>Safeguard is implemented fully on some assets or partially on all assets.</t>
  </si>
  <si>
    <t>Safeguard is implemented on all assets.</t>
  </si>
  <si>
    <t>CIS Safeguard #</t>
  </si>
  <si>
    <t>CIS Safeguard Title</t>
  </si>
  <si>
    <t>What is the highest impact to the mission, operational objectives, and obligations that each asset type could cause? To make this simple, add values ('1' through '3') for "Enterprise" only and leave the indented rows below "Enterprise" blank. If you wish to estimate risks for each Asset Class, you must also add values to the rows that contain the Asset Classes you wish to analyze.</t>
  </si>
  <si>
    <t>Our Planned Implementation</t>
  </si>
  <si>
    <t>Maintain an accurate and up-to-date inventory of all technology assets with the potential to store or process information. This inventory shall include all hardware assets, whether connected to the organization's network or not.</t>
  </si>
  <si>
    <t>Maintain an up-to-date list of all authorized software that is required in the enterprise for any business purpose on any business system.</t>
  </si>
  <si>
    <t>Ensure that only software applications or operating systems currently supported by the software's vendor are added to the organization's authorized software inventory. Unsupported software should be tagged as unsupported in the inventory system.</t>
  </si>
  <si>
    <t>Deploy automated software update tools in order to ensure that the operating systems are running the most recent security updates provided by the software vendor.</t>
  </si>
  <si>
    <t>Deploy automated software update tools in order to ensure that third-party software on all systems is running the most recent security updates provided by the software vendor.</t>
  </si>
  <si>
    <t>Before deploying any new asset, change all default passwords to have values consistent with administrative level accounts.</t>
  </si>
  <si>
    <t>Ensure that all users with administrative account access use a dedicated or secondary account for elevated activities. This account should only be used for administrative activities and not internet browsing, email, or similar activities.</t>
  </si>
  <si>
    <t>Maintain documented, standard security configuration standards for all authorized operating systems and software.</t>
  </si>
  <si>
    <t>Ensure that local logging has been enabled on all systems and networking devices.</t>
  </si>
  <si>
    <t>Ensure that only fully supported web browsers and email clients are allowed to execute in the organization, ideally only using the latest version of the browsers and email clients provided by the vendor.</t>
  </si>
  <si>
    <t>Use DNS filtering services to help block access to known malicious domains.</t>
  </si>
  <si>
    <t>Ensure that the organization's anti-malware software updates its scanning engine and signature database on a regular basis.</t>
  </si>
  <si>
    <t>Configure devices so that they automatically conduct an anti-malware scan of removable media when inserted or connected.</t>
  </si>
  <si>
    <t>Configure devices to not auto-run content from removable media.</t>
  </si>
  <si>
    <t>Apply host-based firewalls or port filtering tools on end systems, with a default-deny rule that drops all traffic except those services and ports that are explicitly allowed.</t>
  </si>
  <si>
    <t>Ensure that each of the organization's key systems are backed up as a complete system, through processes such as imaging, to enable the quick recovery of an entire system.</t>
  </si>
  <si>
    <t>Ensure that backups are properly protected via physical security or encryption when they are stored, as well as when they are moved across the network. This includes remote backups and cloud services.</t>
  </si>
  <si>
    <t>Ensure that all backups have at least one backup destination that is not continuously addressable through operating system calls.</t>
  </si>
  <si>
    <t>Install the latest stable version of any security-related updates on all network devices.</t>
  </si>
  <si>
    <t>Maintain an up-to-date inventory of all of the organization's network boundaries.</t>
  </si>
  <si>
    <t>Deny communication over unauthorized TCP or UDP ports or application traffic to ensure that only authorized protocols are allowed to cross the network boundary in or out of the network at each of the organization's network boundaries.</t>
  </si>
  <si>
    <t>Maintain an inventory of all sensitive information stored, processed, or transmitted by the organization's technology systems, including those located onsite or at a remote service provider.</t>
  </si>
  <si>
    <t>Remove sensitive data or systems not regularly accessed by the organization from the network. These systems shall only be used as stand alone systems (disconnected from the network) by the business unit needing to occasionally use the system or completely virtualized and powered off until needed.</t>
  </si>
  <si>
    <t>Utilize approved whole disk encryption software to encrypt the hard drive of all mobile devices.</t>
  </si>
  <si>
    <t>Protect all information stored on systems with file system, network share, claims, application, or database specific access control lists. These controls will enforce the principle that only authorized individuals should have access to the information based on their need to access the information as a part of their responsibilities.</t>
  </si>
  <si>
    <t>Maintain an inventory of authorized wireless access points connected to the wired network.</t>
  </si>
  <si>
    <t>Leverage the Advanced Encryption Standard (AES) to encrypt wireless data in transit.</t>
  </si>
  <si>
    <t>Disable any account that cannot be associated with a business process or business owner.</t>
  </si>
  <si>
    <t>Automatically disable dormant accounts after a set period of inactivity.</t>
  </si>
  <si>
    <t>Automatically lock workstation sessions after a standard period of inactivity.</t>
  </si>
  <si>
    <t>Create a security awareness program for all workforce members to complete on a regular basis to ensure they understand and exhibit the necessary behaviors and skills to help ensure the security of the organization. The organization's security awareness program should be communicated in a continuous and engaging manner.</t>
  </si>
  <si>
    <t>Train workforce members on the importance of enabling and utilizing secure authentication.</t>
  </si>
  <si>
    <t>Train workforce members to be aware of causes for unintentional data exposures, such as losing their mobile devices or emailing the wrong person due to autocomplete in email.</t>
  </si>
  <si>
    <t>Train employees to be able to identify the most common indicators of an incident and be able to report such an incident.</t>
  </si>
  <si>
    <t>Designate management personnel, as well as backups, who will support the incident handling process by acting in key decision-making roles.</t>
  </si>
  <si>
    <t>Assemble and maintain information on third-party contact information to be used to report a security incident, such as Law Enforcement, relevant government departments, vendors, and ISAC partners.</t>
  </si>
  <si>
    <t>Publish information for all workforce members, regarding reporting computer anomalies and incidents to the incident handling team. Such information should be included in routine employee awareness activities.</t>
  </si>
  <si>
    <t>Establish and maintain an accurate, detailed, and up-to-date inventory of all enterprise assets with the potential to store or process data, to include: end-user devices (including portable and mobile), network devices, non-computing/IoT devices, and servers. Ensure the inventory records the network address (if static), hardware address, machine name, enterprise asset owner, department for each asset, and whether the asset has been approved to connect to the network. For mobile end-user devices, MDM type tools can support this process, where appropriate. This inventory includes assets connected to the infrastructure physically, virtually, remotely, and those within cloud environments. Additionally, it includes assets that are regularly connected to the enterprise’s network infrastructure, even if they are not under control of the enterprise. Review and update the inventory of all enterprise assets bi-annually, or more frequently.</t>
  </si>
  <si>
    <t>Ensure that a process exists to address unauthorized assets on a weekly basis. The enterprise may choose to remove the asset from the network, deny the asset from connecting remotely to the network, or quarantine the asset.</t>
  </si>
  <si>
    <t>Establish and maintain a detailed inventory of all licensed software installed on enterprise assets. The software inventory must document the title, publisher, initial install/use date, and business purpose for each entry; where appropriate, include the Uniform Resource Locator (URL), app store(s), version(s), deployment mechanism, and decommission date. Review and update the software inventory bi-annually, or more frequently.</t>
  </si>
  <si>
    <t>Ensure that only currently supported software is designated as authorized in the software inventory for enterprise assets. If software is unsupported, yet necessary for the fulfillment of the enterprise’s mission, document an exception detailing mitigating controls and residual risk acceptance. For any unsupported software without an exception documentation, designate as unauthorized. Review the software list to verify software support at least monthly, or more frequently.</t>
  </si>
  <si>
    <t>Ensure that unauthorized software is either removed from use on enterprise assets or receives a documented exception. Review monthly, or more frequently.</t>
  </si>
  <si>
    <t>Establish and maintain a data management process. In the process, address data sensitivity, data owner, handling of data, data retention limits, and disposal requirements, based on sensitivity and retention standards for the enterprise. Review and update documentation annually, or when significant enterprise changes occur that could impact this Safeguard.</t>
  </si>
  <si>
    <t>Establish and maintain a data inventory, based on the enterprise’s data management process. Inventory sensitive data, at a minimum. Review and update inventory annually, at a minimum, with a priority on sensitive data.</t>
  </si>
  <si>
    <t>Configure data access control lists based on a user’s need to know. Apply data access control lists, also known as access permissions, to local and remote file systems, databases, and applications.</t>
  </si>
  <si>
    <t>Retain data according to the enterprise’s data management process. Data retention must include both minimum and maximum timelines.</t>
  </si>
  <si>
    <t>Securely dispose of data as outlined in the enterprise’s data management process. Ensure the disposal process and method are commensurate with the data sensitivity.</t>
  </si>
  <si>
    <t>Establish and maintain a secure configuration process for enterprise assets (end-user devices, including portable and mobile, non-computing/IoT devices, and servers) and software (operating systems and applications). Review and update documentation annually, or when significant enterprise changes occur that could impact this Safeguard.</t>
  </si>
  <si>
    <t>Establish and maintain a secure configuration process for network devices. Review and update documentation annually, or when significant enterprise changes occur that could impact this Safeguard.</t>
  </si>
  <si>
    <t>Configure automatic session locking on enterprise assets after a defined period of inactivity. For general purpose operating systems, the period must not exceed 15 minutes. For mobile end-user devices, the period must not exceed 2 minutes.</t>
  </si>
  <si>
    <t>Implement and manage a firewall on servers, where supported. Example implementations include a virtual firewall, operating system firewall, or a third-party firewall agent.</t>
  </si>
  <si>
    <t>Implement and manage a host-based firewall or port-filtering tool on end-user devices, with a default-deny rule that drops all traffic except those services and ports that are explicitly allowed.</t>
  </si>
  <si>
    <t>Securely manage enterprise assets and software. Example implementations include managing configuration through version-controlled-infrastructure-as-code and accessing administrative interfaces over secure network protocols, such as Secure Shell (SSH) and Hypertext Transfer Protocol Secure (HTTPS). Do not use insecure management protocols, such as Telnet (Teletype Network) and HTTP, unless operationally essential.</t>
  </si>
  <si>
    <t>Manage default accounts on enterprise assets and software, such as root, administrator, and other pre-configured vendor accounts. Example implementations can include: disabling default accounts or making them unusable.</t>
  </si>
  <si>
    <t>Establish and maintain an inventory of all accounts managed in the enterprise. The inventory must include both user and administrator accounts. The inventory, at a minimum, should contain the person’s name, username, start/stop dates, and department. Validate that all active accounts are authorized, on a recurring schedule at a minimum quarterly, or more frequently.</t>
  </si>
  <si>
    <t xml:space="preserve">Use unique passwords for all enterprise assets. Best practice implementation includes, at a minimum, an 8-character password for accounts using MFA and a 14-character password for accounts not using MFA. </t>
  </si>
  <si>
    <t>Delete or disable any dormant accounts after a period of 45 days of inactivity, where supported.</t>
  </si>
  <si>
    <t>Restrict administrator privileges to dedicated administrator accounts on enterprise assets. Conduct general computing activities, such as internet browsing, email, and productivity suite use, from the user’s primary, non-privileged account.</t>
  </si>
  <si>
    <t>Establish and follow a process, preferably automated, for granting access to enterprise assets upon new hire, rights grant, or role change of a user.</t>
  </si>
  <si>
    <t>Establish and follow a process, preferably automated, for revoking access to enterprise assets, through disabling accounts immediately upon termination, rights revocation, or role change of a user. Disabling accounts, instead of deleting accounts, may be necessary to preserve audit trails.</t>
  </si>
  <si>
    <t>Require all externally-exposed enterprise or third-party applications to enforce MFA, where supported. Enforcing MFA through a directory service or SSO provider is a satisfactory implementation of this Safeguard.</t>
  </si>
  <si>
    <t>Require MFA for remote network access.</t>
  </si>
  <si>
    <t>Require MFA for all administrative access accounts, where supported, on all enterprise assets, whether managed on-site or through a third-party provider.</t>
  </si>
  <si>
    <t>Establish and maintain a documented vulnerability management process for enterprise assets. Review and update documentation annually, or when significant enterprise changes occur that could impact this Safeguard.</t>
  </si>
  <si>
    <t>Establish and maintain a risk-based remediation strategy documented in a remediation process, with monthly, or more frequent, reviews.</t>
  </si>
  <si>
    <t>Perform operating system updates on enterprise assets through automated patch management on a monthly, or more frequent, basis.</t>
  </si>
  <si>
    <t>Perform application updates on enterprise assets through automated patch management on a monthly, or more frequent, basis.</t>
  </si>
  <si>
    <t>Collect audit logs. Ensure that logging, per the enterprise’s audit log management process, has been enabled across enterprise assets.</t>
  </si>
  <si>
    <t>Ensure that logging destinations maintain adequate storage to comply with the enterprise’s audit log management process.</t>
  </si>
  <si>
    <t>Ensure only fully supported browsers and email clients are allowed to execute in the enterprise, only using the latest version of browsers and email clients provided through the vendor.</t>
  </si>
  <si>
    <t>Use DNS filtering services on all enterprise assets to block access to known malicious domains.</t>
  </si>
  <si>
    <t>Deploy and maintain anti-malware software on all enterprise assets.</t>
  </si>
  <si>
    <t>Configure automatic updates for anti-malware signature files on all enterprise assets.</t>
  </si>
  <si>
    <t>Disable autorun and autoplay auto-execute functionality for removable media.</t>
  </si>
  <si>
    <t xml:space="preserve">Establish and maintain a data recovery process. In the process, address the scope of data recovery activities, recovery prioritization, and the security of backup data. Review and update documentation annually, or when significant enterprise changes occur that could impact this Safeguard. </t>
  </si>
  <si>
    <t>Perform automated backups of in-scope enterprise assets. Run backups weekly, or more frequently, based on the sensitivity of the data.</t>
  </si>
  <si>
    <t>Protect recovery data with equivalent controls to the original data. Reference encryption or data separation, based on requirements.</t>
  </si>
  <si>
    <t>Establish and maintain an isolated instance of recovery data. Example implementations include, version controlling backup destinations through offline, cloud, or off-site systems or services.</t>
  </si>
  <si>
    <t>Ensure network infrastructure is kept up-to-date. Example implementations include running the latest stable release of software and/or using currently supported network-as-a-service (NaaS) offerings. Review software versions monthly, or more frequently, to verify software support.</t>
  </si>
  <si>
    <t>Establish and maintain a security awareness program. The purpose of a security awareness program is to educate the enterprise’s workforce on how to interact with enterprise assets and data in a secure manner. Conduct training at hire and, at a minimum, annually. Review and update content annually, or when significant enterprise changes occur that could impact this Safeguard.</t>
  </si>
  <si>
    <t>Train workforce members to recognize social engineering attacks, such as phishing, pre-texting, and tailgating. </t>
  </si>
  <si>
    <t>Train workforce members on authentication best practices. Example topics include MFA, password composition, and credential management.</t>
  </si>
  <si>
    <t>Train workforce members on how to identify and properly store, transfer, archive, and destroy sensitive data. This also includes training workforce members on clear screen and desk best practices, such as locking their screen when they step away from their enterprise asset, erasing physical and virtual whiteboards at the end of meetings, and storing data and assets securely.</t>
  </si>
  <si>
    <t>Train workforce members to be aware of causes for unintentional data exposure. Example topics include mis-delivery of sensitive data, losing a portable end-user device, or publishing data to unintended audiences.</t>
  </si>
  <si>
    <t>Train workforce members to be able to recognize a potential incident and be able to report such an incident. </t>
  </si>
  <si>
    <t>Train workforce to understand how to verify and report out-of-date software patches or any failures in automated processes and tools. Part of this training should include notifying IT personnel of any failures in automated processes and tools.</t>
  </si>
  <si>
    <t>Train workforce members on the dangers of connecting to, and transmitting data over, insecure networks for enterprise activities. If the enterprise has remote workers, training must include guidance to ensure that all users securely configure their home network infrastructure.</t>
  </si>
  <si>
    <t xml:space="preserve">Establish and maintain an inventory of service providers. The inventory is to list all known service providers, include classification(s), and designate an enterprise contact for each service provider. Review and update the inventory annually, or when significant enterprise changes occur that could impact this Safeguard. </t>
  </si>
  <si>
    <t>Designate one key person, and at least one backup, who will manage the enterprise’s incident handling process. Management personnel are responsible for the coordination and documentation of incident response and recovery efforts and can consist of employees internal to the enterprise, third-party vendors, or a hybrid approach. If using a third-party vendor, designate at least one person internal to the enterprise to oversee any third-party work. Review annually, or when significant enterprise changes occur that could impact this Safeguard.</t>
  </si>
  <si>
    <t>Establish and maintain contact information for parties that need to be informed of security incidents. Contacts may include internal staff, third-party vendors, law enforcement, cyber insurance providers, relevant government agencies, Information Sharing and Analysis Center (ISAC) partners, or other stakeholders. Verify contacts annually to ensure that information is up-to-date.</t>
  </si>
  <si>
    <t>Establish and maintain an enterprise process for the workforce to report security incidents. The process includes reporting timeframe, personnel to report to, mechanism for reporting, and the minimum information to be reported. Ensure the process is publicly available to all of the workforce. Review annually, or when significant enterprise changes occur that could impact this Safeguard.</t>
  </si>
  <si>
    <t>Encrypt data on end-user devices containing sensitive data. Example implementations can include: Windows BitLocker®, Apple FileVault®, Linux® dm-crypt.</t>
  </si>
  <si>
    <t>Establish and maintain an audit log management process that defines the enterprise’s logging requirements. At a minimum, address the collection, review, and retention of audit logs for enterprise assets. Review and update documentation annually, or when significant enterprise changes occur that could impact this Safeguard.</t>
  </si>
  <si>
    <t>Risk Treatment</t>
  </si>
  <si>
    <t>Reasonable and Acceptable</t>
  </si>
  <si>
    <t>Risk Analysis</t>
  </si>
  <si>
    <t>Reduce</t>
  </si>
  <si>
    <t>Accept</t>
  </si>
  <si>
    <t>Risk Treatment Safeguard Title</t>
  </si>
  <si>
    <t>Risk Treatment Safeguard Description</t>
  </si>
  <si>
    <t>Required</t>
  </si>
  <si>
    <t>Optional</t>
  </si>
  <si>
    <t>Color Key</t>
  </si>
  <si>
    <t>Meaning</t>
  </si>
  <si>
    <t>For user input. Risk assessors will add values into these columns.</t>
  </si>
  <si>
    <t>For optional user input. Risk assessors may add values into these columns if it's useful to them.</t>
  </si>
  <si>
    <t>Used to evaluate risk acceptance</t>
  </si>
  <si>
    <t>Used to populate "VCDB Index"</t>
  </si>
  <si>
    <t>Color</t>
  </si>
  <si>
    <t>All assets</t>
  </si>
  <si>
    <t>State College</t>
  </si>
  <si>
    <t>To prepare each generation to succeed to the best of their ability; To inspire young artists to find their voice; To meet or exceed performance standards issued by the state; To help each student achieve their potential.</t>
  </si>
  <si>
    <t>Maintain an operational budget; Grow the Foundation</t>
  </si>
  <si>
    <t>To prevent theft of students’ identity</t>
  </si>
  <si>
    <t>Safeguard Maturity Score</t>
  </si>
  <si>
    <t>Risk Treatment Safeguard Maturity Score</t>
  </si>
  <si>
    <t>Used for "Safeguard Maturity Score" and "Risk Treatment Safeguard Maturity Score"</t>
  </si>
  <si>
    <t>Q3</t>
  </si>
  <si>
    <t>Q4</t>
  </si>
  <si>
    <t>Q1</t>
  </si>
  <si>
    <t>Maturity Scores</t>
  </si>
  <si>
    <t>Risk Treatment Option</t>
  </si>
  <si>
    <t>Safeguard is tested and inconsistencies are corrected.</t>
  </si>
  <si>
    <t>Safeguard has mechanisms that ensure consistent implementation over time.</t>
  </si>
  <si>
    <t>All data on this page is considered sample data only, and not meant to reflect an individual organization's risk register. Only to be used for demonstration purposes.</t>
  </si>
  <si>
    <t>Add unapproved software to incident response plan.</t>
  </si>
  <si>
    <t>Use PAM for all admin accounts.</t>
  </si>
  <si>
    <t>Configure end-user systems to automatically apply patches from vendor.</t>
  </si>
  <si>
    <t>Use application whitelisting.</t>
  </si>
  <si>
    <t>Implement a NAC.</t>
  </si>
  <si>
    <t>CIS-Hosted CSAT</t>
  </si>
  <si>
    <t>CIS-Hosted CSAT for CIS Controls v7.1</t>
  </si>
  <si>
    <t>Calculated Numerical Score</t>
  </si>
  <si>
    <t>CIS-Hosted CSAT for CIS Controls v8.0</t>
  </si>
  <si>
    <t>v7.1 IG1 Safeguard #</t>
  </si>
  <si>
    <t>CSAT Pro Export Score</t>
  </si>
  <si>
    <t>CSAT Pro Score (Stripped)</t>
  </si>
  <si>
    <t>v8 IG1 Safeguard #</t>
  </si>
  <si>
    <t>Policy Defined</t>
  </si>
  <si>
    <t>Control Implemented</t>
  </si>
  <si>
    <t>Control Automated</t>
  </si>
  <si>
    <t>Control Reported</t>
  </si>
  <si>
    <t>5 (81-100%)</t>
  </si>
  <si>
    <t>Approved Written Policy</t>
  </si>
  <si>
    <t>Implemented on Most Systems</t>
  </si>
  <si>
    <t>Automated on All Systems</t>
  </si>
  <si>
    <t>Reported on Some Systems</t>
  </si>
  <si>
    <t>3 (41-60%)</t>
  </si>
  <si>
    <t>Partially Written Policy</t>
  </si>
  <si>
    <t>Implemented on Some Systems</t>
  </si>
  <si>
    <t>Automated on Some Systems</t>
  </si>
  <si>
    <t>Reported on Most Systems</t>
  </si>
  <si>
    <t>4 (61-80%)</t>
  </si>
  <si>
    <t>Implemented on All Systems</t>
  </si>
  <si>
    <t>Reported on All Systems</t>
  </si>
  <si>
    <t>Automated on Most Systems</t>
  </si>
  <si>
    <t>2 (21-40%)</t>
  </si>
  <si>
    <t>Informal Policy</t>
  </si>
  <si>
    <t>Parts of Policy Implemented</t>
  </si>
  <si>
    <t>Parts of Policy Automated</t>
  </si>
  <si>
    <t>Not Applicable</t>
  </si>
  <si>
    <t>No Policy</t>
  </si>
  <si>
    <t>Not Implemented</t>
  </si>
  <si>
    <t>Not Reported</t>
  </si>
  <si>
    <t>Not Available</t>
  </si>
  <si>
    <t>Not Automated</t>
  </si>
  <si>
    <t>Written Policy</t>
  </si>
  <si>
    <t>None</t>
  </si>
  <si>
    <t>CIS-Hosted CSAT Maturity Scores</t>
  </si>
  <si>
    <t>Parts of Policy Reported</t>
  </si>
  <si>
    <t>Unknown - Unscored</t>
  </si>
  <si>
    <t>Unknown - N/A</t>
  </si>
  <si>
    <t>CIS-Hosted CSAT Values From XLSX Export</t>
  </si>
  <si>
    <t>https://www.cisecurity.org/controls/v8/</t>
  </si>
  <si>
    <t>https://workbench.cisecurity.org/dashboard</t>
  </si>
  <si>
    <t>Instructions for Importing CIS-Hosted CSAT Scores into CIS RAM</t>
  </si>
  <si>
    <r>
      <t>1)</t>
    </r>
    <r>
      <rPr>
        <sz val="7"/>
        <color theme="1"/>
        <rFont val="Arial"/>
        <family val="2"/>
      </rPr>
      <t xml:space="preserve">      </t>
    </r>
    <r>
      <rPr>
        <b/>
        <sz val="11"/>
        <color theme="1"/>
        <rFont val="Arial"/>
        <family val="2"/>
      </rPr>
      <t>In CIS-Hosted CSAT</t>
    </r>
    <r>
      <rPr>
        <sz val="11"/>
        <color theme="1"/>
        <rFont val="Arial"/>
        <family val="2"/>
      </rPr>
      <t>, filter on IG1 and export the filtered Safeguards</t>
    </r>
  </si>
  <si>
    <r>
      <t>c.</t>
    </r>
    <r>
      <rPr>
        <sz val="7"/>
        <color theme="1"/>
        <rFont val="Arial"/>
        <family val="2"/>
      </rPr>
      <t xml:space="preserve">       </t>
    </r>
    <r>
      <rPr>
        <sz val="11"/>
        <color theme="1"/>
        <rFont val="Arial"/>
        <family val="2"/>
      </rPr>
      <t>Find the appropriate section in the “CIS-Hosted CSAT” tab based on which CIS Controls version you are using (either CIS-Hosted CSAT for CIS Controls v7.1 or CIS-Hosted CSAT for CIS Controls v8.0).</t>
    </r>
  </si>
  <si>
    <t>CIS RAM Maturity Score Average</t>
  </si>
  <si>
    <t>CIS RAM Maturity Score Final</t>
  </si>
  <si>
    <r>
      <t>3)</t>
    </r>
    <r>
      <rPr>
        <sz val="7"/>
        <color theme="1"/>
        <rFont val="Arial"/>
        <family val="2"/>
      </rPr>
      <t xml:space="preserve">      </t>
    </r>
    <r>
      <rPr>
        <sz val="11"/>
        <color theme="1"/>
        <rFont val="Arial"/>
        <family val="2"/>
      </rPr>
      <t>Note: Adjustments may need to be made based on your scoring from CSAT to CIS RAM.</t>
    </r>
  </si>
  <si>
    <r>
      <t>4)</t>
    </r>
    <r>
      <rPr>
        <sz val="7"/>
        <color theme="1"/>
        <rFont val="Arial"/>
        <family val="2"/>
      </rPr>
      <t xml:space="preserve">      </t>
    </r>
    <r>
      <rPr>
        <sz val="11"/>
        <color theme="1"/>
        <rFont val="Arial"/>
        <family val="2"/>
      </rPr>
      <t>Once scores are final, copy the scores in the “CIS RAM Maturity Score Final” column into the "Safeguard Maturity Score" column of the appropriate CIS RAM tab – “Risk Register 7.1 for IG1” for v7.1 of the CIS Controls or “Risk Register 8 for IG1” for v8 of the CIS Controls.</t>
    </r>
  </si>
  <si>
    <r>
      <t>4)</t>
    </r>
    <r>
      <rPr>
        <sz val="7"/>
        <color theme="1"/>
        <rFont val="Arial"/>
        <family val="2"/>
      </rPr>
      <t xml:space="preserve">      </t>
    </r>
    <r>
      <rPr>
        <sz val="11"/>
        <color theme="1"/>
        <rFont val="Arial"/>
        <family val="2"/>
      </rPr>
      <t>Once scores are final, copy the scores in the “CIS RAM Maturity Score Final” column into the “Safeguard Maturity Score” column of the appropriate CIS RAM tab – “Risk Register 7.1 for IG1” for v7.1 of the CIS Controls or “Risk Register 8 for IG1” for v8 of the CIS Controls.</t>
    </r>
  </si>
  <si>
    <t>CIS CSAT Pro</t>
  </si>
  <si>
    <t>CIS CSAT Pro for CIS Controls v8.0</t>
  </si>
  <si>
    <t>CIS CSAT Pro for CIS Controls v7.1</t>
  </si>
  <si>
    <t>Instructions for Importing CIS CSAT Pro Scores into CIS RAM</t>
  </si>
  <si>
    <r>
      <t>1)</t>
    </r>
    <r>
      <rPr>
        <sz val="7"/>
        <color theme="1"/>
        <rFont val="Arial"/>
        <family val="2"/>
      </rPr>
      <t xml:space="preserve">      </t>
    </r>
    <r>
      <rPr>
        <b/>
        <sz val="11"/>
        <color theme="1"/>
        <rFont val="Arial"/>
        <family val="2"/>
      </rPr>
      <t>In CIS CSAT Pro</t>
    </r>
    <r>
      <rPr>
        <sz val="11"/>
        <color theme="1"/>
        <rFont val="Arial"/>
        <family val="2"/>
      </rPr>
      <t>, filter on IG1 and Export Filtered CSV.</t>
    </r>
  </si>
  <si>
    <t>Note: Please ensure that your enterprise's method for scoring Safeguards in CSAT Pro aligns closely enough with the CIS RAM Maturity Scores (defined below). Adjustments may need to be made based on your current scoring.</t>
  </si>
  <si>
    <r>
      <t xml:space="preserve">Note: This method will average the four scoring categories in CIS-Hosted CSAT for each Safeguard and aligns those averages with the CIS RAM Maturity Scores.  Please review the CIS RAM Maturity Scores, </t>
    </r>
    <r>
      <rPr>
        <b/>
        <u/>
        <sz val="11"/>
        <color rgb="FFFF0000"/>
        <rFont val="Arial"/>
        <family val="2"/>
      </rPr>
      <t>as defined below</t>
    </r>
    <r>
      <rPr>
        <b/>
        <sz val="11"/>
        <color rgb="FFFF0000"/>
        <rFont val="Arial"/>
        <family val="2"/>
      </rPr>
      <t>, to ensure this method aligns closely enough for your enterprise's scoring practices.</t>
    </r>
  </si>
  <si>
    <r>
      <t>b.</t>
    </r>
    <r>
      <rPr>
        <sz val="11"/>
        <color theme="1"/>
        <rFont val="Times New Roman"/>
        <family val="1"/>
      </rPr>
      <t>   </t>
    </r>
    <r>
      <rPr>
        <sz val="11"/>
        <color theme="1"/>
        <rFont val="Arial"/>
        <family val="2"/>
      </rPr>
      <t>Note: Values of ‘N’ and ‘DIV/0!’ may copy over from the “CIS CSAT Pro” and “CIS-Hosted CSAT” tabs, if present. If copied, these values can be deleted from the “Safeguard Maturity Score” cell and will not affect the functionality of the CIS RAM Risk Register.</t>
    </r>
  </si>
  <si>
    <r>
      <t>b.</t>
    </r>
    <r>
      <rPr>
        <sz val="11"/>
        <color theme="1"/>
        <rFont val="Times New Roman"/>
        <family val="1"/>
      </rPr>
      <t xml:space="preserve">    </t>
    </r>
    <r>
      <rPr>
        <sz val="11"/>
        <color theme="1"/>
        <rFont val="Arial"/>
        <family val="2"/>
      </rPr>
      <t>Note: Values of ‘N’ and ‘DIV/0!’ may copy over from the “CIS CSAT Pro” and “CIS-Hosted CSAT” tabs, if present. If copied, these values can be deleted from the “Safeguard Maturity Score” cell and will not affect the functionality of the CIS RAM Risk Register.</t>
    </r>
  </si>
  <si>
    <t>Address Unapproved Software</t>
  </si>
  <si>
    <t>All data on this page is considered sample data only, and not meant to reflect an individual organization's CSAT/RAM scoring. Only to be used for demonstration purposes.</t>
  </si>
  <si>
    <r>
      <t>a.</t>
    </r>
    <r>
      <rPr>
        <sz val="7"/>
        <color theme="1"/>
        <rFont val="Arial"/>
        <family val="2"/>
      </rPr>
      <t xml:space="preserve">       </t>
    </r>
    <r>
      <rPr>
        <sz val="11"/>
        <color theme="1"/>
        <rFont val="Arial"/>
        <family val="2"/>
      </rPr>
      <t>Go to the Assessment Summary page for the assessment of interest (this is reachable from the Assessment Summary tab at the top of the Assessment Dashboard for that assessment).</t>
    </r>
  </si>
  <si>
    <r>
      <t>b.</t>
    </r>
    <r>
      <rPr>
        <sz val="7"/>
        <color theme="1"/>
        <rFont val="Arial"/>
        <family val="2"/>
      </rPr>
      <t xml:space="preserve">       </t>
    </r>
    <r>
      <rPr>
        <sz val="11"/>
        <color theme="1"/>
        <rFont val="Arial"/>
        <family val="2"/>
      </rPr>
      <t>Click the Filter button.</t>
    </r>
  </si>
  <si>
    <r>
      <t>c.</t>
    </r>
    <r>
      <rPr>
        <sz val="7"/>
        <color theme="1"/>
        <rFont val="Arial"/>
        <family val="2"/>
      </rPr>
      <t xml:space="preserve">       </t>
    </r>
    <r>
      <rPr>
        <sz val="11"/>
        <color theme="1"/>
        <rFont val="Arial"/>
        <family val="2"/>
      </rPr>
      <t>Select "IG-1" for the Implementation Group filter and click Search.</t>
    </r>
  </si>
  <si>
    <r>
      <t>d.</t>
    </r>
    <r>
      <rPr>
        <sz val="7"/>
        <color theme="1"/>
        <rFont val="Arial"/>
        <family val="2"/>
      </rPr>
      <t xml:space="preserve">       </t>
    </r>
    <r>
      <rPr>
        <sz val="11"/>
        <color theme="1"/>
        <rFont val="Arial"/>
        <family val="2"/>
      </rPr>
      <t>Click the "Export Filtered CSV" button to export the report.</t>
    </r>
  </si>
  <si>
    <r>
      <t>2)</t>
    </r>
    <r>
      <rPr>
        <sz val="7"/>
        <color theme="1"/>
        <rFont val="Arial"/>
        <family val="2"/>
      </rPr>
      <t xml:space="preserve">      </t>
    </r>
    <r>
      <rPr>
        <sz val="11"/>
        <color theme="1"/>
        <rFont val="Arial"/>
        <family val="2"/>
      </rPr>
      <t>Copy your scores from the exported CSAT Pro CSV file</t>
    </r>
    <r>
      <rPr>
        <b/>
        <sz val="11"/>
        <color theme="1"/>
        <rFont val="Arial"/>
        <family val="2"/>
      </rPr>
      <t xml:space="preserve"> to the CIS RAM for IG1 Workbook</t>
    </r>
    <r>
      <rPr>
        <sz val="11"/>
        <color theme="1"/>
        <rFont val="Arial"/>
        <family val="2"/>
      </rPr>
      <t>.</t>
    </r>
  </si>
  <si>
    <r>
      <t>a.</t>
    </r>
    <r>
      <rPr>
        <sz val="7"/>
        <color theme="1"/>
        <rFont val="Arial"/>
        <family val="2"/>
      </rPr>
      <t xml:space="preserve">       </t>
    </r>
    <r>
      <rPr>
        <sz val="11"/>
        <color theme="1"/>
        <rFont val="Arial"/>
        <family val="2"/>
      </rPr>
      <t>In the CSAT Pro CSV file, copy the contents of column E (labeled “Sub-Control Score”) excluding the heading row.</t>
    </r>
  </si>
  <si>
    <r>
      <t>b.</t>
    </r>
    <r>
      <rPr>
        <sz val="11"/>
        <color rgb="FF1B2B38"/>
        <rFont val="Times New Roman"/>
        <family val="1"/>
      </rPr>
      <t>   </t>
    </r>
    <r>
      <rPr>
        <sz val="11"/>
        <color rgb="FF1B2B38"/>
        <rFont val="Arial"/>
        <family val="2"/>
      </rPr>
      <t>Go to the “CIS CSAT Pro” tab in the CIS RAM for IG1 Workbook.</t>
    </r>
  </si>
  <si>
    <r>
      <t>c.</t>
    </r>
    <r>
      <rPr>
        <sz val="7"/>
        <color theme="1"/>
        <rFont val="Arial"/>
        <family val="2"/>
      </rPr>
      <t xml:space="preserve">       </t>
    </r>
    <r>
      <rPr>
        <sz val="11"/>
        <color theme="1"/>
        <rFont val="Arial"/>
        <family val="2"/>
      </rPr>
      <t>Find the appropriate section in the “CIS CSAT Pro” tab based on which CIS Controls version you are using (either CSAT Pro for CIS Controls v7.1 or CSAT Pro for CIS Controls v8.0).</t>
    </r>
  </si>
  <si>
    <r>
      <t>d.</t>
    </r>
    <r>
      <rPr>
        <sz val="7"/>
        <color theme="1"/>
        <rFont val="Arial"/>
        <family val="2"/>
      </rPr>
      <t xml:space="preserve">       </t>
    </r>
    <r>
      <rPr>
        <sz val="11"/>
        <color theme="1"/>
        <rFont val="Arial"/>
        <family val="2"/>
      </rPr>
      <t>Paste the copied data into the appropriate section of the “CIS CSAT Pro” tab.</t>
    </r>
  </si>
  <si>
    <r>
      <t>a.</t>
    </r>
    <r>
      <rPr>
        <sz val="7"/>
        <color theme="1"/>
        <rFont val="Arial"/>
        <family val="2"/>
      </rPr>
      <t xml:space="preserve">       </t>
    </r>
    <r>
      <rPr>
        <sz val="11"/>
        <color theme="1"/>
        <rFont val="Arial"/>
        <family val="2"/>
      </rPr>
      <t>Go to the All Controls page for the assessment of interest (this is reachable from the All Controls link on the menu on the left under “Current Assessment”).</t>
    </r>
  </si>
  <si>
    <r>
      <t>c.</t>
    </r>
    <r>
      <rPr>
        <sz val="7"/>
        <color theme="1"/>
        <rFont val="Arial"/>
        <family val="2"/>
      </rPr>
      <t xml:space="preserve">       </t>
    </r>
    <r>
      <rPr>
        <sz val="11"/>
        <color theme="1"/>
        <rFont val="Arial"/>
        <family val="2"/>
      </rPr>
      <t>Select “Group 1” for the Implementation Group filter and click Filter.</t>
    </r>
  </si>
  <si>
    <r>
      <rPr>
        <sz val="11"/>
        <color theme="1"/>
        <rFont val="Arial"/>
        <family val="2"/>
      </rPr>
      <t>i.</t>
    </r>
    <r>
      <rPr>
        <sz val="7"/>
        <color theme="1"/>
        <rFont val="Arial"/>
        <family val="2"/>
      </rPr>
      <t xml:space="preserve">      </t>
    </r>
    <r>
      <rPr>
        <sz val="11"/>
        <color theme="1"/>
        <rFont val="Arial"/>
        <family val="2"/>
      </rPr>
      <t>Select the checkbox next to each blue Safeguard</t>
    </r>
    <r>
      <rPr>
        <sz val="7"/>
        <color theme="1"/>
        <rFont val="Arial"/>
        <family val="2"/>
      </rPr>
      <t>.</t>
    </r>
  </si>
  <si>
    <r>
      <t>e.</t>
    </r>
    <r>
      <rPr>
        <sz val="7"/>
        <color theme="1"/>
        <rFont val="Arial"/>
        <family val="2"/>
      </rPr>
      <t xml:space="preserve">       </t>
    </r>
    <r>
      <rPr>
        <sz val="11"/>
        <color theme="1"/>
        <rFont val="Arial"/>
        <family val="2"/>
      </rPr>
      <t>Click the Download Report button to export the report.</t>
    </r>
  </si>
  <si>
    <r>
      <t>2)</t>
    </r>
    <r>
      <rPr>
        <sz val="7"/>
        <color theme="1"/>
        <rFont val="Arial"/>
        <family val="2"/>
      </rPr>
      <t xml:space="preserve">      </t>
    </r>
    <r>
      <rPr>
        <sz val="11"/>
        <color theme="1"/>
        <rFont val="Arial"/>
        <family val="2"/>
      </rPr>
      <t xml:space="preserve">Copy your scores from the exported CIS-Hosted CSAT XLSX file </t>
    </r>
    <r>
      <rPr>
        <b/>
        <sz val="11"/>
        <color theme="1"/>
        <rFont val="Arial"/>
        <family val="2"/>
      </rPr>
      <t>to the CIS RAM for IG1 Workbook</t>
    </r>
    <r>
      <rPr>
        <sz val="11"/>
        <color theme="1"/>
        <rFont val="Arial"/>
        <family val="2"/>
      </rPr>
      <t>.</t>
    </r>
  </si>
  <si>
    <r>
      <t>a.</t>
    </r>
    <r>
      <rPr>
        <sz val="7"/>
        <color theme="1"/>
        <rFont val="Arial"/>
        <family val="2"/>
      </rPr>
      <t xml:space="preserve">       </t>
    </r>
    <r>
      <rPr>
        <sz val="11"/>
        <color theme="1"/>
        <rFont val="Arial"/>
        <family val="2"/>
      </rPr>
      <t>In the CIS-Hosted CSAT XLSX file, copy the contents of columns E through H (labeled Policy Defined, Control Implemented, Control Automated, and Control Reported) excluding the heading row.</t>
    </r>
  </si>
  <si>
    <r>
      <t>b.</t>
    </r>
    <r>
      <rPr>
        <sz val="7"/>
        <color theme="1"/>
        <rFont val="Arial"/>
        <family val="2"/>
      </rPr>
      <t xml:space="preserve">       </t>
    </r>
    <r>
      <rPr>
        <sz val="11"/>
        <color theme="1"/>
        <rFont val="Arial"/>
        <family val="2"/>
      </rPr>
      <t>Go to the “CIS-Hosted CSAT” tab in the CIS RAM for IG1 Workbook.</t>
    </r>
  </si>
  <si>
    <r>
      <t>d.</t>
    </r>
    <r>
      <rPr>
        <sz val="7"/>
        <color theme="1"/>
        <rFont val="Arial"/>
        <family val="2"/>
      </rPr>
      <t xml:space="preserve">       </t>
    </r>
    <r>
      <rPr>
        <sz val="11"/>
        <color theme="1"/>
        <rFont val="Arial"/>
        <family val="2"/>
      </rPr>
      <t>Paste the copied data into the appropriate section of the “CIS-Hosted CSAT” tab.</t>
    </r>
  </si>
  <si>
    <r>
      <t>a.</t>
    </r>
    <r>
      <rPr>
        <sz val="7"/>
        <color theme="1"/>
        <rFont val="Arial"/>
        <family val="2"/>
      </rPr>
      <t xml:space="preserve">       </t>
    </r>
    <r>
      <rPr>
        <sz val="11"/>
        <color theme="1"/>
        <rFont val="Arial"/>
        <family val="2"/>
      </rPr>
      <t>Right-click to copy and "Paste Special" as "Values" (e.g., 1,2,3).</t>
    </r>
  </si>
  <si>
    <r>
      <rPr>
        <sz val="11"/>
        <color theme="1"/>
        <rFont val="Arial"/>
        <family val="2"/>
      </rPr>
      <t>ii.</t>
    </r>
    <r>
      <rPr>
        <sz val="7"/>
        <color theme="1"/>
        <rFont val="Arial"/>
        <family val="2"/>
      </rPr>
      <t xml:space="preserve">      </t>
    </r>
    <r>
      <rPr>
        <sz val="11"/>
        <color theme="1"/>
        <rFont val="Arial"/>
        <family val="2"/>
      </rPr>
      <t>Select “Un-Assign the control” from the Bulk Action option dropdown and click the “Save” button next to the dropdown.</t>
    </r>
    <r>
      <rPr>
        <b/>
        <sz val="11"/>
        <color theme="1"/>
        <rFont val="Arial"/>
        <family val="2"/>
      </rPr>
      <t xml:space="preserve"> Please note:</t>
    </r>
    <r>
      <rPr>
        <sz val="11"/>
        <color theme="1"/>
        <rFont val="Arial"/>
        <family val="2"/>
      </rPr>
      <t xml:space="preserve"> If any of the selected Safeguards were assigned, this will remove the assignee and the due date.</t>
    </r>
  </si>
  <si>
    <t>Title</t>
  </si>
  <si>
    <t>Join our Community where you can discuss the CIS Controls with our global army of experts and volunteers!</t>
  </si>
  <si>
    <t>Ensure that there are written incident response plans that define roles of personnel as well as phases of incident handling/management.</t>
  </si>
  <si>
    <t>Ensure that all system data is automatically backed up on a regular basis.</t>
  </si>
  <si>
    <t>What is the highest impact to the Mission, Operational Objectives, and Obligations that each asset type could cause? To make this simple, add values ('1' through '3') for "Enterprise" only and leave the indented rows below "Enterprise" blank. If you wish to estimate risks for each Asset Class, you must also add values to the rows that contain the Asset Classes you wish to analyze.</t>
  </si>
  <si>
    <t>What is the highest impact to the Mission, Operational Objectives, and Obligations that each Asset Type could cause? To make this simple, add values ('1' through '3') for "Enterprise" only and leave the indented rows below "Enterprise" blank. If you wish to estimate risks for each Asset Class, you must also add values to the rows that contain the Asset Classes you wish to analyze.</t>
  </si>
  <si>
    <r>
      <t>d.</t>
    </r>
    <r>
      <rPr>
        <sz val="7"/>
        <color theme="1"/>
        <rFont val="Arial"/>
        <family val="2"/>
      </rPr>
      <t xml:space="preserve">       </t>
    </r>
    <r>
      <rPr>
        <sz val="11"/>
        <color theme="1"/>
        <rFont val="Arial"/>
        <family val="2"/>
      </rPr>
      <t>Check to see if any of these Safeguards are in the blue (Not Assessed) state. You can see this in the “#” column – there will be a colored circle in each row by the Safeguard number. Any Safeguards that have a blue circle there will not export; if you have any blue Safeguards and you want to continue these steps, one way to get them out of the blue state is to:</t>
    </r>
  </si>
  <si>
    <t>Automated or fixed values on the Risk Treatment side of the Risk Register. While the worksheet is in protected mode, these values cannot be changed.</t>
  </si>
  <si>
    <t>Automated or fixed values on the Risk Analysis side of the Risk Register. While the worksheet is in protected mode, these values cannot be changed.</t>
  </si>
  <si>
    <t>The unique CIS Safeguard identifier, as published in the CIS Controls.</t>
  </si>
  <si>
    <t>The title of the CIS Safeguard, as published in the CIS Controls.</t>
  </si>
  <si>
    <t>The asset class, as published in the CIS Controls.</t>
  </si>
  <si>
    <t>An automatically calculated value to represent how common the related threat is as a cause for reported cybersecurity incidents.</t>
  </si>
  <si>
    <t>An automatically calculated value to represent how commonly the related threat would be the cause of a cybersecurity incident, given your current Safeguard.</t>
  </si>
  <si>
    <t>The magnitude of harm that a successful threat would cause to your Mission.</t>
  </si>
  <si>
    <t>The magnitude of harm that a successful threat would cause to your Operational Objectives.</t>
  </si>
  <si>
    <t>The magnitude of harm that a successful threat would cause to your Obligations.</t>
  </si>
  <si>
    <t>An evaluation of the risk as acceptable, unacceptable, or catastrophic.</t>
  </si>
  <si>
    <t>A statement about whether the enterprise will accept or reduce the risk.</t>
  </si>
  <si>
    <t>The description of the CIS Safeguard, as published in the CIS Controls.</t>
  </si>
  <si>
    <t>A brief description of how the Safeguard will be implemented and operated in the enterprise.</t>
  </si>
  <si>
    <t>An automatically calculated value to represent how commonly the related threat would be the cause of a cybersecurity incident, given the planned Safeguard.</t>
  </si>
  <si>
    <t>A determination of whether the planned Safeguard is reasonable and acceptable.</t>
  </si>
  <si>
    <t>An estimate of how much the Safeguard is expected to cost.</t>
  </si>
  <si>
    <t>When the Safeguard is planned for completion of implementation (which quarter).</t>
  </si>
  <si>
    <t>When the Safeguard is planned for completion of implementation (which year).</t>
  </si>
  <si>
    <t>The risk is not expected in this environment.</t>
  </si>
  <si>
    <t>CIS CSAT (Controls Self Assessment Tool)</t>
  </si>
  <si>
    <t>TWO TYPES:</t>
  </si>
  <si>
    <t>https://csat.cisecurity.org/</t>
  </si>
  <si>
    <t>https://www.cisecurity.org/controls/cis-controls-self-assessment-tool-cis-csat/</t>
  </si>
  <si>
    <t>Ensure that unauthorized assets are either removed from the network, quarantined, or the inventory is updated in a timely manner.</t>
  </si>
  <si>
    <t>Ensure that unauthorized software is either removed or the inventory is updated in a timely manner.</t>
  </si>
  <si>
    <t>Train the workforce on how to identify different forms of social engineering attacks, such as phishing, phone scams, and impersonation calls.</t>
  </si>
  <si>
    <t>Train workforce on how to identify and properly store, transfer, archive, and destroy sensitive information.</t>
  </si>
  <si>
    <t>A score of '1' through '5' designating the reliability of a Safeguard's effectiveness against threats.</t>
  </si>
  <si>
    <t>A score of '1' through '5' designating the planned reliability of a Safeguard's effectiveness against threats.</t>
  </si>
  <si>
    <r>
      <t>e.</t>
    </r>
    <r>
      <rPr>
        <sz val="7"/>
        <color theme="1"/>
        <rFont val="Arial"/>
        <family val="2"/>
      </rPr>
      <t xml:space="preserve">       </t>
    </r>
    <r>
      <rPr>
        <sz val="11"/>
        <color theme="1"/>
        <rFont val="Arial"/>
        <family val="2"/>
      </rPr>
      <t>For instance, if you are using Controls v7.1, you might copy cells E2 to E44 from the CSAT Pro CSV to C5 to C47 in the “CIS CSAT Pro” tab of the CIS RAM for IG1 Workbook.</t>
    </r>
  </si>
  <si>
    <r>
      <t>e.</t>
    </r>
    <r>
      <rPr>
        <sz val="7"/>
        <color theme="1"/>
        <rFont val="Arial"/>
        <family val="2"/>
      </rPr>
      <t xml:space="preserve">       </t>
    </r>
    <r>
      <rPr>
        <sz val="11"/>
        <color theme="1"/>
        <rFont val="Arial"/>
        <family val="2"/>
      </rPr>
      <t>For instance, if you are using Controls v7.1, you might copy the cells from E2:E44 over to H2:H44 from the CIS-Hosted CSAT XLSX file, select cell C14 in the “CIS-Hosted CSAT” tab in the CIS RAM for IG1 Workbook and paste them there.</t>
    </r>
  </si>
  <si>
    <t>Expectancy Score</t>
  </si>
  <si>
    <t>Risk Treatment
Safeguard Expectancy Score</t>
  </si>
  <si>
    <t>Enterprise Risk Assessment Criteria</t>
  </si>
  <si>
    <t>Reasonable Annual Cost</t>
  </si>
  <si>
    <t>Used for "Expectancy Score" and "Risk Treatment Safeguard Expectancy Score"</t>
  </si>
  <si>
    <t>Expectancy Scores</t>
  </si>
  <si>
    <t>Expectancy Definition</t>
  </si>
  <si>
    <t>Used to calculate "Expectancy Score" and "Risk Treatment Safeguard Expectancy Score"</t>
  </si>
  <si>
    <t>Expectancy</t>
  </si>
  <si>
    <t>Automated or fixed values on the Reasonable Annual Cost side of the Risk Register. While the worksheet is in protected mode, these values cannot be changed.</t>
  </si>
  <si>
    <t xml:space="preserve">The total Risk Treatment Safeguard Cost for the year. </t>
  </si>
  <si>
    <t>The year the total cost was incurred.</t>
  </si>
  <si>
    <t xml:space="preserve">Whether or not the total cost falls above or below the acceptable limit, based on the Acceptable Criteria for the enterprise's Financial Objectives. </t>
  </si>
  <si>
    <t>Risk Treatment Safeguard Expectancy Score</t>
  </si>
  <si>
    <t>Expectancy Criteria</t>
  </si>
  <si>
    <t>Risk Levels</t>
  </si>
  <si>
    <t>Red</t>
  </si>
  <si>
    <r>
      <t>Red indicates that the risk is “urgent.”</t>
    </r>
    <r>
      <rPr>
        <sz val="8"/>
        <color rgb="FF1B2B38"/>
        <rFont val="Arial"/>
        <family val="2"/>
      </rPr>
      <t> </t>
    </r>
  </si>
  <si>
    <t>Yellow</t>
  </si>
  <si>
    <t>Yellow indicates that the risk is “unacceptably high, but not urgent.”</t>
  </si>
  <si>
    <t>Green</t>
  </si>
  <si>
    <t>Green indicates that the risk evaluates as “acceptable.”</t>
  </si>
  <si>
    <t>The product of the Expectancy and the highest of the three Impacts.</t>
  </si>
  <si>
    <t>The product of the Expectancy and the highest of the three impacts, given the planned Safeguard.</t>
  </si>
  <si>
    <t>NIST CSF Security Function</t>
  </si>
  <si>
    <t>Identify</t>
  </si>
  <si>
    <t>Respond</t>
  </si>
  <si>
    <t>Protect</t>
  </si>
  <si>
    <t>Detect</t>
  </si>
  <si>
    <t>Recover</t>
  </si>
  <si>
    <t>N/A</t>
  </si>
  <si>
    <t>The CIS RAM for IG1 Workbook protects most cells in the Risk Register and lookup tables to prevent users from accidentally changing the formulas and lookups that automate the risk analysis and make it simple. 
If users are confident in their use of Microsoft® Excel and wish to modify values, such as Risk Acceptance Criteria, they may “unprotect” the document by going to the “Review” tab in the Excel menu and selecting the “Unprotect sheet” button. However, guidance for maintenance of the Workbook, formulas, lookups, and protected cells is beyond the scope of this document.</t>
  </si>
  <si>
    <t>CIS RAM v2.1 for IG1</t>
  </si>
  <si>
    <t>Mapping between the NIST CSF Security Functions and CIS Safeguards, as published in the CIS Controls.</t>
  </si>
  <si>
    <t>Remember to download the CIS Critical Security Controls (CIS Controls) Version 8 Guide where you can learn more about:
  • This Version of the CIS Controls
  • The CIS Controls Ecosystem ("It's not about the list")
  • How to Get Started
  • Using or Transitioning from Prior Versions of the CIS Controls 
  • Structure of the CIS Controls
  • Implementation Groups
  • Why is this Control critical
  • Procedures and Tools</t>
  </si>
  <si>
    <t>This is a free tool with a dynamic list of the CIS Safeguards that can be filtered by Implementation Groups and mappings to multiple frameworks.</t>
  </si>
  <si>
    <t>https://www.cisecurity.org/controls/v8</t>
  </si>
  <si>
    <t>Overview: The CIS Controls® Self Assessment Tool, also known as CIS CSAT, enables organizations to assess and track their implementation of the CIS Controls for Versions 8 and 7.1. The CIS Controls are a prioritized set of consensus-developed security best practices used by organizations around the world to defend against cyber threats.</t>
  </si>
  <si>
    <r>
      <rPr>
        <b/>
        <sz val="8"/>
        <color theme="1"/>
        <rFont val="Arial"/>
        <family val="2"/>
      </rPr>
      <t xml:space="preserve">CIS-Hosted CSAT: </t>
    </r>
    <r>
      <rPr>
        <sz val="8"/>
        <color theme="1"/>
        <rFont val="Arial"/>
        <family val="2"/>
      </rPr>
      <t>The CIS-hosted version of CIS CSAT is free to every organization for use in a non-commercial capacity to conduct CIS Controls assessments of their organization. (released January 2019)</t>
    </r>
  </si>
  <si>
    <r>
      <rPr>
        <b/>
        <sz val="8"/>
        <color theme="1"/>
        <rFont val="Arial"/>
        <family val="2"/>
      </rPr>
      <t>CIS CSAT Pro:</t>
    </r>
    <r>
      <rPr>
        <sz val="8"/>
        <color theme="1"/>
        <rFont val="Arial"/>
        <family val="2"/>
      </rPr>
      <t xml:space="preserve"> The on-premises version of CIS CSAT is available exclusively for CIS SecureSuite Members. This version offers additional features and benefits: Save time by using a simplified scoring method with a reduced number of questions, Decide whether to opt in to share data and see how scores compare to industry average, Greater flexibility with organization trees for tracking organizations, sub-organizations, and assessments, Assign users to different roles for different organizations/sub-organizations as well as greater separation of administrative and non-administrative roles, Track multiple concurrent assessments in the same organization, Easily access your tasks, assessments, and organizations from a consolidated home page, Includes CIS Controls Safeguard mappings to NIST CSF, NIST SP 800-53, and PCI. (released August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</si>
</sst>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5" x14ac:knownFonts="1">
    <font>
      <sz val="11"/>
      <color theme="1"/>
      <name val="Calibri"/>
      <family val="2"/>
      <scheme val="minor"/>
    </font>
    <font>
      <sz val="11"/>
      <color theme="1"/>
      <name val="Arial"/>
      <family val="2"/>
    </font>
    <font>
      <sz val="11"/>
      <color theme="1"/>
      <name val="Calibri"/>
      <family val="2"/>
      <scheme val="minor"/>
    </font>
    <font>
      <b/>
      <sz val="10"/>
      <color theme="0"/>
      <name val="Arial"/>
      <family val="2"/>
    </font>
    <font>
      <b/>
      <sz val="10"/>
      <color theme="1"/>
      <name val="Arial"/>
      <family val="2"/>
    </font>
    <font>
      <sz val="10"/>
      <color theme="1"/>
      <name val="Arial"/>
      <family val="2"/>
    </font>
    <font>
      <b/>
      <i/>
      <u/>
      <sz val="10"/>
      <color rgb="FF7030A0"/>
      <name val="Arial"/>
      <family val="2"/>
    </font>
    <font>
      <b/>
      <sz val="10"/>
      <color rgb="FF7030A0"/>
      <name val="Arial"/>
      <family val="2"/>
    </font>
    <font>
      <sz val="10"/>
      <color rgb="FF000000"/>
      <name val="Arial"/>
      <family val="2"/>
    </font>
    <font>
      <b/>
      <i/>
      <u/>
      <sz val="10"/>
      <color theme="1"/>
      <name val="Arial"/>
      <family val="2"/>
    </font>
    <font>
      <i/>
      <sz val="10"/>
      <color rgb="FF000000"/>
      <name val="Arial"/>
      <family val="2"/>
    </font>
    <font>
      <i/>
      <sz val="10"/>
      <name val="Arial"/>
      <family val="2"/>
    </font>
    <font>
      <b/>
      <i/>
      <u/>
      <sz val="10"/>
      <color rgb="FF000000"/>
      <name val="Arial"/>
      <family val="2"/>
    </font>
    <font>
      <b/>
      <sz val="11"/>
      <color theme="1"/>
      <name val="Arial"/>
      <family val="2"/>
    </font>
    <font>
      <sz val="11"/>
      <color theme="1"/>
      <name val="Arial"/>
      <family val="2"/>
    </font>
    <font>
      <b/>
      <i/>
      <sz val="10"/>
      <color theme="0"/>
      <name val="Arial"/>
      <family val="2"/>
    </font>
    <font>
      <sz val="10"/>
      <color rgb="FF1B2B38"/>
      <name val="Arial"/>
      <family val="2"/>
    </font>
    <font>
      <sz val="9"/>
      <color indexed="81"/>
      <name val="Tahoma"/>
      <family val="2"/>
    </font>
    <font>
      <sz val="20"/>
      <color theme="1"/>
      <name val="Arial"/>
      <family val="2"/>
    </font>
    <font>
      <sz val="7"/>
      <color theme="1"/>
      <name val="Arial"/>
      <family val="2"/>
    </font>
    <font>
      <b/>
      <sz val="36"/>
      <color theme="1"/>
      <name val="Arial"/>
      <family val="2"/>
    </font>
    <font>
      <b/>
      <sz val="12"/>
      <color rgb="FFFF0000"/>
      <name val="Arial"/>
      <family val="2"/>
    </font>
    <font>
      <b/>
      <sz val="22"/>
      <color theme="1"/>
      <name val="Arial"/>
      <family val="2"/>
    </font>
    <font>
      <b/>
      <sz val="35"/>
      <color theme="1"/>
      <name val="Arial"/>
      <family val="2"/>
    </font>
    <font>
      <b/>
      <sz val="11"/>
      <color rgb="FFFF0000"/>
      <name val="Arial"/>
      <family val="2"/>
    </font>
    <font>
      <b/>
      <u/>
      <sz val="11"/>
      <color rgb="FFFF0000"/>
      <name val="Arial"/>
      <family val="2"/>
    </font>
    <font>
      <sz val="11"/>
      <color theme="1"/>
      <name val="Times New Roman"/>
      <family val="1"/>
    </font>
    <font>
      <b/>
      <sz val="20"/>
      <color rgb="FFFF0000"/>
      <name val="Arial"/>
      <family val="2"/>
    </font>
    <font>
      <sz val="11"/>
      <color rgb="FF1B2B38"/>
      <name val="Arial"/>
      <family val="2"/>
    </font>
    <font>
      <sz val="11"/>
      <color rgb="FF1B2B38"/>
      <name val="Times New Roman"/>
      <family val="1"/>
    </font>
    <font>
      <sz val="28"/>
      <color rgb="FFFF0000"/>
      <name val="Arial"/>
      <family val="2"/>
    </font>
    <font>
      <b/>
      <sz val="10"/>
      <color rgb="FFFF0000"/>
      <name val="Arial"/>
      <family val="2"/>
    </font>
    <font>
      <sz val="10"/>
      <color rgb="FFFF0000"/>
      <name val="Arial"/>
      <family val="2"/>
    </font>
    <font>
      <b/>
      <sz val="12"/>
      <color theme="0"/>
      <name val="Arial"/>
      <family val="2"/>
    </font>
    <font>
      <b/>
      <sz val="12"/>
      <color theme="1"/>
      <name val="Arial"/>
      <family val="2"/>
    </font>
    <font>
      <b/>
      <sz val="11"/>
      <color theme="0"/>
      <name val="Arial"/>
      <family val="2"/>
    </font>
    <font>
      <sz val="8"/>
      <color rgb="FF1B2B38"/>
      <name val="Arial"/>
      <family val="2"/>
    </font>
    <font>
      <b/>
      <sz val="10"/>
      <name val="Arial"/>
      <family val="2"/>
    </font>
    <font>
      <b/>
      <sz val="25"/>
      <color rgb="FF0086BF"/>
      <name val="Arial"/>
      <family val="2"/>
    </font>
    <font>
      <sz val="15"/>
      <color theme="0"/>
      <name val="Arial"/>
      <family val="2"/>
    </font>
    <font>
      <sz val="12"/>
      <color theme="1"/>
      <name val="Calibri"/>
      <family val="2"/>
      <scheme val="minor"/>
    </font>
    <font>
      <sz val="8"/>
      <color theme="1"/>
      <name val="Arial"/>
      <family val="2"/>
    </font>
    <font>
      <u/>
      <sz val="12"/>
      <color theme="10"/>
      <name val="Calibri"/>
      <family val="2"/>
      <scheme val="minor"/>
    </font>
    <font>
      <sz val="8"/>
      <color rgb="FF0086BF"/>
      <name val="Arial"/>
      <family val="2"/>
    </font>
    <font>
      <b/>
      <sz val="8"/>
      <color theme="1"/>
      <name val="Arial"/>
      <family val="2"/>
    </font>
  </fonts>
  <fills count="19">
    <fill>
      <patternFill patternType="none"/>
    </fill>
    <fill>
      <patternFill patternType="gray125"/>
    </fill>
    <fill>
      <patternFill patternType="solid">
        <fgColor theme="3"/>
        <bgColor indexed="64"/>
      </patternFill>
    </fill>
    <fill>
      <patternFill patternType="solid">
        <fgColor rgb="FF00B050"/>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A391F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DADCDE"/>
        <bgColor indexed="64"/>
      </patternFill>
    </fill>
    <fill>
      <patternFill patternType="solid">
        <fgColor rgb="FF0086B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right style="medium">
        <color indexed="64"/>
      </right>
      <top/>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theme="0"/>
      </bottom>
      <diagonal/>
    </border>
    <border>
      <left style="medium">
        <color indexed="64"/>
      </left>
      <right/>
      <top style="medium">
        <color indexed="64"/>
      </top>
      <bottom style="thick">
        <color theme="0"/>
      </bottom>
      <diagonal/>
    </border>
    <border>
      <left/>
      <right/>
      <top style="medium">
        <color indexed="64"/>
      </top>
      <bottom style="thick">
        <color theme="0"/>
      </bottom>
      <diagonal/>
    </border>
    <border>
      <left/>
      <right style="medium">
        <color indexed="64"/>
      </right>
      <top style="medium">
        <color indexed="64"/>
      </top>
      <bottom style="thick">
        <color theme="0"/>
      </bottom>
      <diagonal/>
    </border>
    <border>
      <left style="medium">
        <color indexed="64"/>
      </left>
      <right style="thin">
        <color theme="0"/>
      </right>
      <top/>
      <bottom style="thick">
        <color theme="0"/>
      </bottom>
      <diagonal/>
    </border>
    <border>
      <left style="thin">
        <color theme="0"/>
      </left>
      <right style="medium">
        <color indexed="64"/>
      </right>
      <top/>
      <bottom style="thick">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ck">
        <color theme="0"/>
      </top>
      <bottom style="thin">
        <color theme="0"/>
      </bottom>
      <diagonal/>
    </border>
    <border>
      <left style="medium">
        <color indexed="64"/>
      </left>
      <right/>
      <top/>
      <bottom style="thick">
        <color theme="0"/>
      </bottom>
      <diagonal/>
    </border>
    <border>
      <left/>
      <right style="medium">
        <color indexed="64"/>
      </right>
      <top/>
      <bottom style="thick">
        <color theme="0"/>
      </bottom>
      <diagonal/>
    </border>
    <border>
      <left style="medium">
        <color theme="0"/>
      </left>
      <right/>
      <top/>
      <bottom style="thick">
        <color theme="0"/>
      </bottom>
      <diagonal/>
    </border>
    <border>
      <left/>
      <right style="medium">
        <color theme="0"/>
      </right>
      <top/>
      <bottom style="thick">
        <color theme="0"/>
      </bottom>
      <diagonal/>
    </border>
    <border>
      <left style="medium">
        <color theme="0"/>
      </left>
      <right style="thin">
        <color theme="0"/>
      </right>
      <top/>
      <bottom style="thick">
        <color theme="0"/>
      </bottom>
      <diagonal/>
    </border>
    <border>
      <left style="medium">
        <color indexed="64"/>
      </left>
      <right style="medium">
        <color theme="0"/>
      </right>
      <top/>
      <bottom style="thick">
        <color theme="0"/>
      </bottom>
      <diagonal/>
    </border>
    <border>
      <left style="medium">
        <color indexed="64"/>
      </left>
      <right style="thin">
        <color theme="0"/>
      </right>
      <top style="thick">
        <color theme="0"/>
      </top>
      <bottom style="thin">
        <color theme="0"/>
      </bottom>
      <diagonal/>
    </border>
    <border>
      <left style="medium">
        <color theme="0"/>
      </left>
      <right/>
      <top/>
      <bottom/>
      <diagonal/>
    </border>
    <border>
      <left style="medium">
        <color indexed="64"/>
      </left>
      <right style="medium">
        <color indexed="64"/>
      </right>
      <top/>
      <bottom style="thick">
        <color theme="0"/>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ck">
        <color theme="0"/>
      </top>
      <bottom style="thin">
        <color theme="0"/>
      </bottom>
      <diagonal/>
    </border>
    <border>
      <left/>
      <right/>
      <top style="medium">
        <color indexed="64"/>
      </top>
      <bottom style="thin">
        <color theme="0"/>
      </bottom>
      <diagonal/>
    </border>
    <border>
      <left/>
      <right/>
      <top style="thin">
        <color theme="0"/>
      </top>
      <bottom style="thin">
        <color theme="0"/>
      </bottom>
      <diagonal/>
    </border>
    <border>
      <left/>
      <right/>
      <top style="thin">
        <color theme="0"/>
      </top>
      <bottom style="medium">
        <color indexed="64"/>
      </bottom>
      <diagonal/>
    </border>
    <border>
      <left/>
      <right/>
      <top style="thin">
        <color indexed="64"/>
      </top>
      <bottom/>
      <diagonal/>
    </border>
  </borders>
  <cellStyleXfs count="5">
    <xf numFmtId="0" fontId="0" fillId="0" borderId="0"/>
    <xf numFmtId="9" fontId="2" fillId="0" borderId="0" applyFont="0" applyFill="0" applyBorder="0" applyAlignment="0" applyProtection="0"/>
    <xf numFmtId="44" fontId="2" fillId="0" borderId="0" applyFont="0" applyFill="0" applyBorder="0" applyAlignment="0" applyProtection="0"/>
    <xf numFmtId="0" fontId="40" fillId="0" borderId="0"/>
    <xf numFmtId="0" fontId="42" fillId="0" borderId="0" applyNumberFormat="0" applyFill="0" applyBorder="0" applyAlignment="0" applyProtection="0"/>
  </cellStyleXfs>
  <cellXfs count="332">
    <xf numFmtId="0" fontId="0" fillId="0" borderId="0" xfId="0"/>
    <xf numFmtId="0" fontId="4" fillId="7" borderId="1" xfId="0" applyFont="1" applyFill="1" applyBorder="1" applyAlignment="1">
      <alignment horizontal="left" vertical="center"/>
    </xf>
    <xf numFmtId="0" fontId="5" fillId="0" borderId="0" xfId="0" applyFont="1"/>
    <xf numFmtId="0" fontId="5" fillId="5" borderId="0" xfId="0" applyFont="1" applyFill="1" applyAlignment="1">
      <alignment horizontal="center" vertical="center"/>
    </xf>
    <xf numFmtId="0" fontId="5" fillId="5" borderId="0" xfId="0" applyFont="1" applyFill="1" applyAlignment="1">
      <alignment horizontal="left" vertical="center" wrapText="1"/>
    </xf>
    <xf numFmtId="0" fontId="4" fillId="8" borderId="1" xfId="0" applyFont="1" applyFill="1" applyBorder="1" applyAlignment="1">
      <alignment vertical="center"/>
    </xf>
    <xf numFmtId="0" fontId="4" fillId="4" borderId="0" xfId="0" applyFont="1" applyFill="1" applyAlignment="1">
      <alignment horizontal="center" vertical="center" wrapText="1"/>
    </xf>
    <xf numFmtId="0" fontId="4" fillId="6"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44" fontId="5" fillId="0" borderId="0" xfId="2" applyFont="1" applyFill="1" applyAlignment="1" applyProtection="1">
      <alignment horizontal="left" vertical="center" wrapText="1"/>
      <protection locked="0"/>
    </xf>
    <xf numFmtId="44" fontId="5" fillId="8" borderId="0" xfId="2" applyFont="1" applyFill="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pplyProtection="1">
      <alignment horizontal="center" vertical="center" wrapText="1"/>
      <protection locked="0"/>
    </xf>
    <xf numFmtId="0" fontId="4" fillId="0" borderId="0" xfId="0" applyFont="1" applyAlignment="1">
      <alignment horizontal="left" vertical="center" indent="1"/>
    </xf>
    <xf numFmtId="0" fontId="5" fillId="0" borderId="0" xfId="0" applyFont="1" applyAlignment="1">
      <alignment horizontal="left" vertical="center"/>
    </xf>
    <xf numFmtId="0" fontId="4" fillId="3"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wrapText="1"/>
    </xf>
    <xf numFmtId="0" fontId="5" fillId="5" borderId="0" xfId="0" applyFont="1" applyFill="1" applyAlignment="1">
      <alignment horizontal="center" vertical="center" wrapText="1"/>
    </xf>
    <xf numFmtId="0" fontId="8" fillId="0" borderId="0" xfId="0" applyNumberFormat="1"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pplyProtection="1">
      <alignment horizontal="left" vertical="center" wrapText="1"/>
      <protection locked="0"/>
    </xf>
    <xf numFmtId="1" fontId="6" fillId="0" borderId="0" xfId="0" applyNumberFormat="1" applyFont="1" applyFill="1" applyAlignment="1" applyProtection="1">
      <alignment horizontal="center" vertical="center" wrapText="1"/>
      <protection locked="0"/>
    </xf>
    <xf numFmtId="164" fontId="8" fillId="0" borderId="0" xfId="2" applyNumberFormat="1" applyFont="1" applyFill="1" applyAlignment="1" applyProtection="1">
      <alignment horizontal="center" vertical="center" wrapText="1"/>
      <protection locked="0"/>
    </xf>
    <xf numFmtId="1" fontId="8" fillId="0" borderId="0" xfId="0" applyNumberFormat="1" applyFont="1" applyFill="1" applyAlignment="1" applyProtection="1">
      <alignment horizontal="center" vertical="center" wrapText="1"/>
      <protection locked="0"/>
    </xf>
    <xf numFmtId="44" fontId="5" fillId="0" borderId="0" xfId="2" applyFont="1" applyAlignment="1">
      <alignment horizontal="right" vertical="center"/>
    </xf>
    <xf numFmtId="0" fontId="8" fillId="0" borderId="0" xfId="0" applyNumberFormat="1" applyFont="1" applyFill="1" applyAlignment="1" applyProtection="1">
      <alignment horizontal="center" vertical="center" wrapText="1"/>
    </xf>
    <xf numFmtId="0" fontId="8" fillId="0" borderId="0" xfId="0" applyFont="1" applyFill="1" applyAlignment="1" applyProtection="1">
      <alignment horizontal="left" vertical="center" wrapText="1"/>
    </xf>
    <xf numFmtId="0" fontId="5" fillId="5" borderId="0" xfId="0" applyFont="1" applyFill="1"/>
    <xf numFmtId="0" fontId="3" fillId="2" borderId="1" xfId="0" applyFont="1" applyFill="1" applyBorder="1" applyAlignment="1">
      <alignment horizontal="left" vertical="center"/>
    </xf>
    <xf numFmtId="9" fontId="5" fillId="0" borderId="0" xfId="1" applyFont="1" applyAlignment="1">
      <alignment horizontal="center" vertical="center"/>
    </xf>
    <xf numFmtId="0" fontId="4" fillId="8" borderId="1" xfId="0" applyFont="1" applyFill="1" applyBorder="1" applyAlignment="1">
      <alignment horizontal="left" vertical="center" wrapText="1"/>
    </xf>
    <xf numFmtId="14" fontId="5" fillId="0" borderId="0" xfId="0" applyNumberFormat="1" applyFont="1" applyAlignment="1">
      <alignment horizontal="left" vertical="center"/>
    </xf>
    <xf numFmtId="0" fontId="5" fillId="0" borderId="1" xfId="0" applyFont="1" applyBorder="1" applyAlignment="1">
      <alignment horizontal="left" vertical="center"/>
    </xf>
    <xf numFmtId="0" fontId="8" fillId="0" borderId="0" xfId="0" applyNumberFormat="1" applyFont="1" applyFill="1" applyAlignment="1" applyProtection="1">
      <alignment horizontal="center" vertical="center" wrapText="1"/>
      <protection locked="0"/>
    </xf>
    <xf numFmtId="0" fontId="9" fillId="0" borderId="0" xfId="0" applyFont="1" applyFill="1" applyAlignment="1" applyProtection="1">
      <alignment horizontal="left" vertical="center" wrapText="1"/>
      <protection locked="0"/>
    </xf>
    <xf numFmtId="0" fontId="9" fillId="0" borderId="0" xfId="0" applyFont="1" applyFill="1" applyAlignment="1">
      <alignment horizontal="left" vertical="center" wrapText="1"/>
    </xf>
    <xf numFmtId="0" fontId="4" fillId="0" borderId="0" xfId="0" applyFont="1" applyFill="1" applyAlignment="1" applyProtection="1">
      <alignment horizontal="center" vertical="center" wrapText="1"/>
      <protection locked="0"/>
    </xf>
    <xf numFmtId="9" fontId="5" fillId="0" borderId="0" xfId="1" applyNumberFormat="1" applyFont="1" applyAlignment="1">
      <alignment horizontal="center" vertical="center"/>
    </xf>
    <xf numFmtId="0" fontId="5" fillId="0" borderId="0" xfId="0" applyNumberFormat="1" applyFont="1" applyAlignment="1">
      <alignment horizontal="center" vertical="center"/>
    </xf>
    <xf numFmtId="0" fontId="4" fillId="6" borderId="0" xfId="0" applyFont="1" applyFill="1" applyAlignment="1" applyProtection="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NumberFormat="1" applyFont="1" applyFill="1" applyAlignment="1">
      <alignment horizontal="center" vertical="center" wrapText="1"/>
    </xf>
    <xf numFmtId="0" fontId="3" fillId="9" borderId="1" xfId="0" applyFont="1" applyFill="1" applyBorder="1" applyAlignment="1">
      <alignment horizontal="center" vertical="center" wrapText="1"/>
    </xf>
    <xf numFmtId="0" fontId="11" fillId="0" borderId="0" xfId="0" applyNumberFormat="1" applyFont="1" applyFill="1" applyAlignment="1">
      <alignment horizontal="center" vertical="center" wrapText="1"/>
    </xf>
    <xf numFmtId="1" fontId="12" fillId="0" borderId="0" xfId="0" applyNumberFormat="1" applyFont="1" applyFill="1" applyAlignment="1" applyProtection="1">
      <alignment horizontal="left" vertical="center" wrapText="1"/>
      <protection locked="0"/>
    </xf>
    <xf numFmtId="0" fontId="4" fillId="0" borderId="1" xfId="0" applyFont="1" applyBorder="1" applyAlignment="1">
      <alignment horizontal="left" vertical="center"/>
    </xf>
    <xf numFmtId="0" fontId="5" fillId="0" borderId="1" xfId="0" applyFont="1" applyBorder="1"/>
    <xf numFmtId="0" fontId="4" fillId="0" borderId="0" xfId="0" applyFont="1" applyFill="1" applyAlignment="1" applyProtection="1">
      <alignment horizontal="center" vertical="center" wrapText="1"/>
    </xf>
    <xf numFmtId="0" fontId="15" fillId="6" borderId="0" xfId="0" applyFont="1" applyFill="1" applyAlignment="1">
      <alignment horizontal="center" vertical="center" wrapText="1"/>
    </xf>
    <xf numFmtId="0" fontId="5" fillId="0" borderId="0" xfId="0" applyFont="1" applyAlignment="1">
      <alignment vertical="center"/>
    </xf>
    <xf numFmtId="0" fontId="8" fillId="12" borderId="7" xfId="0" applyNumberFormat="1" applyFont="1" applyFill="1" applyBorder="1" applyAlignment="1">
      <alignment horizontal="center" vertical="center" wrapText="1"/>
    </xf>
    <xf numFmtId="0" fontId="8" fillId="11" borderId="7" xfId="0" applyNumberFormat="1" applyFont="1" applyFill="1" applyBorder="1" applyAlignment="1">
      <alignment horizontal="center" vertical="center" wrapText="1"/>
    </xf>
    <xf numFmtId="0" fontId="8" fillId="12" borderId="8" xfId="0" applyNumberFormat="1" applyFont="1" applyFill="1" applyBorder="1" applyAlignment="1">
      <alignment horizontal="center" vertical="center" wrapText="1"/>
    </xf>
    <xf numFmtId="0" fontId="8" fillId="11" borderId="8" xfId="0" applyNumberFormat="1"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12" borderId="20" xfId="0" applyNumberFormat="1" applyFont="1" applyFill="1" applyBorder="1" applyAlignment="1">
      <alignment horizontal="center" vertical="center" wrapText="1"/>
    </xf>
    <xf numFmtId="0" fontId="8" fillId="11" borderId="20" xfId="0" applyNumberFormat="1" applyFont="1" applyFill="1" applyBorder="1" applyAlignment="1">
      <alignment horizontal="center" vertical="center" wrapText="1"/>
    </xf>
    <xf numFmtId="0" fontId="8" fillId="12" borderId="21" xfId="0" applyNumberFormat="1" applyFont="1" applyFill="1" applyBorder="1" applyAlignment="1">
      <alignment horizontal="center" vertical="center" wrapText="1"/>
    </xf>
    <xf numFmtId="0" fontId="8" fillId="11" borderId="21" xfId="0" applyNumberFormat="1" applyFont="1" applyFill="1" applyBorder="1" applyAlignment="1">
      <alignment horizontal="center" vertical="center" wrapText="1"/>
    </xf>
    <xf numFmtId="0" fontId="8" fillId="12" borderId="22" xfId="0" applyNumberFormat="1" applyFont="1" applyFill="1" applyBorder="1" applyAlignment="1">
      <alignment horizontal="center" vertical="center" wrapText="1"/>
    </xf>
    <xf numFmtId="0" fontId="4" fillId="0" borderId="0" xfId="0" applyFont="1" applyAlignment="1">
      <alignment horizontal="center" vertical="center"/>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8" fillId="12" borderId="29" xfId="0" applyNumberFormat="1"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7" borderId="35"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5" fillId="0" borderId="0" xfId="0" applyFont="1" applyBorder="1" applyAlignment="1">
      <alignment vertical="center"/>
    </xf>
    <xf numFmtId="0" fontId="5" fillId="0" borderId="6"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23" fillId="8" borderId="11" xfId="0" applyFont="1" applyFill="1" applyBorder="1" applyAlignment="1">
      <alignment horizontal="center" vertical="center" wrapText="1"/>
    </xf>
    <xf numFmtId="2" fontId="8" fillId="0" borderId="0" xfId="0" applyNumberFormat="1" applyFont="1" applyFill="1" applyAlignment="1">
      <alignment horizontal="center" vertical="center" wrapText="1"/>
    </xf>
    <xf numFmtId="2" fontId="8" fillId="0" borderId="0" xfId="0" applyNumberFormat="1" applyFont="1" applyFill="1" applyAlignment="1" applyProtection="1">
      <alignment horizontal="center" vertical="center" wrapText="1"/>
      <protection locked="0"/>
    </xf>
    <xf numFmtId="2" fontId="8" fillId="11" borderId="7" xfId="0" applyNumberFormat="1" applyFont="1" applyFill="1" applyBorder="1" applyAlignment="1">
      <alignment horizontal="center" vertical="center" wrapText="1"/>
    </xf>
    <xf numFmtId="0" fontId="5" fillId="0" borderId="0" xfId="0" applyFont="1" applyAlignment="1">
      <alignment horizontal="center" wrapText="1"/>
    </xf>
    <xf numFmtId="0" fontId="5" fillId="0" borderId="0" xfId="0" applyFont="1" applyProtection="1">
      <protection locked="0"/>
    </xf>
    <xf numFmtId="0" fontId="22" fillId="8" borderId="53"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5" fillId="0" borderId="0" xfId="0" applyFont="1" applyAlignment="1" applyProtection="1">
      <alignment horizontal="center" wrapText="1"/>
      <protection locked="0"/>
    </xf>
    <xf numFmtId="0" fontId="5" fillId="0" borderId="53" xfId="0" applyFont="1" applyBorder="1" applyProtection="1">
      <protection locked="0"/>
    </xf>
    <xf numFmtId="0" fontId="5" fillId="0" borderId="0" xfId="0" applyFont="1" applyBorder="1" applyAlignment="1" applyProtection="1">
      <alignment horizontal="center" vertical="center"/>
      <protection locked="0"/>
    </xf>
    <xf numFmtId="0" fontId="14" fillId="0" borderId="12" xfId="0" applyFont="1" applyBorder="1" applyAlignment="1" applyProtection="1">
      <alignment horizontal="left" vertical="center" indent="5"/>
      <protection locked="0"/>
    </xf>
    <xf numFmtId="0" fontId="5" fillId="0" borderId="0" xfId="0" applyFont="1" applyBorder="1" applyAlignment="1" applyProtection="1">
      <alignment horizontal="left" vertical="center"/>
      <protection locked="0"/>
    </xf>
    <xf numFmtId="0" fontId="14" fillId="0" borderId="12" xfId="0" applyFont="1" applyBorder="1" applyAlignment="1" applyProtection="1">
      <alignment horizontal="left" vertical="center" wrapText="1" indent="10"/>
      <protection locked="0"/>
    </xf>
    <xf numFmtId="0" fontId="14" fillId="0" borderId="12" xfId="0" applyFont="1" applyBorder="1" applyAlignment="1" applyProtection="1">
      <alignment horizontal="left" vertical="center" indent="10"/>
      <protection locked="0"/>
    </xf>
    <xf numFmtId="0" fontId="19" fillId="0" borderId="12" xfId="0" applyFont="1" applyBorder="1" applyAlignment="1" applyProtection="1">
      <alignment horizontal="left" vertical="center" indent="15"/>
      <protection locked="0"/>
    </xf>
    <xf numFmtId="0" fontId="19" fillId="0" borderId="12" xfId="0" applyFont="1" applyBorder="1" applyAlignment="1" applyProtection="1">
      <alignment horizontal="left" vertical="center" wrapText="1" indent="15"/>
      <protection locked="0"/>
    </xf>
    <xf numFmtId="0" fontId="14" fillId="0" borderId="12" xfId="0" applyFont="1" applyBorder="1" applyAlignment="1" applyProtection="1">
      <alignment horizontal="left" vertical="center" wrapText="1" indent="5"/>
      <protection locked="0"/>
    </xf>
    <xf numFmtId="0" fontId="5" fillId="0" borderId="0" xfId="0" applyFont="1" applyAlignment="1" applyProtection="1">
      <alignment vertical="center"/>
      <protection locked="0"/>
    </xf>
    <xf numFmtId="0" fontId="3" fillId="10" borderId="27" xfId="0" applyFont="1" applyFill="1" applyBorder="1" applyAlignment="1" applyProtection="1">
      <alignment horizontal="center" vertical="center" wrapText="1"/>
      <protection locked="0"/>
    </xf>
    <xf numFmtId="0" fontId="3" fillId="10" borderId="18"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10" borderId="28" xfId="0" applyFont="1" applyFill="1" applyBorder="1" applyAlignment="1" applyProtection="1">
      <alignment horizontal="center" vertical="center" wrapText="1"/>
      <protection locked="0"/>
    </xf>
    <xf numFmtId="0" fontId="8" fillId="12" borderId="7" xfId="0" applyNumberFormat="1" applyFont="1" applyFill="1" applyBorder="1" applyAlignment="1" applyProtection="1">
      <alignment horizontal="center" vertical="center" wrapText="1"/>
      <protection locked="0"/>
    </xf>
    <xf numFmtId="0" fontId="8" fillId="12" borderId="20" xfId="0" applyNumberFormat="1" applyFont="1" applyFill="1" applyBorder="1" applyAlignment="1" applyProtection="1">
      <alignment horizontal="center" vertical="center" wrapText="1"/>
      <protection locked="0"/>
    </xf>
    <xf numFmtId="0" fontId="8" fillId="12" borderId="29" xfId="0" applyNumberFormat="1" applyFont="1" applyFill="1" applyBorder="1" applyAlignment="1" applyProtection="1">
      <alignment horizontal="center" vertical="center" wrapText="1"/>
      <protection locked="0"/>
    </xf>
    <xf numFmtId="0" fontId="8" fillId="12" borderId="22" xfId="0" applyNumberFormat="1" applyFont="1" applyFill="1" applyBorder="1" applyAlignment="1" applyProtection="1">
      <alignment horizontal="center" vertical="center" wrapText="1"/>
      <protection locked="0"/>
    </xf>
    <xf numFmtId="0" fontId="8" fillId="11" borderId="7" xfId="0" applyNumberFormat="1" applyFont="1" applyFill="1" applyBorder="1" applyAlignment="1" applyProtection="1">
      <alignment horizontal="center" vertical="center" wrapText="1"/>
      <protection locked="0"/>
    </xf>
    <xf numFmtId="0" fontId="8" fillId="11" borderId="20" xfId="0" applyNumberFormat="1" applyFont="1" applyFill="1" applyBorder="1" applyAlignment="1" applyProtection="1">
      <alignment horizontal="center" vertical="center" wrapText="1"/>
      <protection locked="0"/>
    </xf>
    <xf numFmtId="0" fontId="14" fillId="0" borderId="13" xfId="0" applyFont="1" applyBorder="1" applyAlignment="1" applyProtection="1">
      <alignment horizontal="left" vertical="center" wrapText="1" indent="10"/>
      <protection locked="0"/>
    </xf>
    <xf numFmtId="2" fontId="8" fillId="11" borderId="7" xfId="0" applyNumberFormat="1" applyFont="1" applyFill="1" applyBorder="1" applyAlignment="1" applyProtection="1">
      <alignment horizontal="center" vertical="center" wrapText="1"/>
      <protection locked="0"/>
    </xf>
    <xf numFmtId="0" fontId="8" fillId="12" borderId="8" xfId="0" applyNumberFormat="1" applyFont="1" applyFill="1" applyBorder="1" applyAlignment="1" applyProtection="1">
      <alignment horizontal="center" vertical="center" wrapText="1"/>
      <protection locked="0"/>
    </xf>
    <xf numFmtId="0" fontId="8" fillId="12" borderId="21" xfId="0" applyNumberFormat="1" applyFont="1" applyFill="1" applyBorder="1" applyAlignment="1" applyProtection="1">
      <alignment horizontal="center" vertical="center" wrapText="1"/>
      <protection locked="0"/>
    </xf>
    <xf numFmtId="0" fontId="8" fillId="11" borderId="8" xfId="0" applyNumberFormat="1" applyFont="1" applyFill="1" applyBorder="1" applyAlignment="1" applyProtection="1">
      <alignment horizontal="center" vertical="center" wrapText="1"/>
      <protection locked="0"/>
    </xf>
    <xf numFmtId="0" fontId="8" fillId="11" borderId="21" xfId="0" applyNumberFormat="1" applyFont="1" applyFill="1" applyBorder="1" applyAlignment="1" applyProtection="1">
      <alignment horizontal="center" vertical="center" wrapText="1"/>
      <protection locked="0"/>
    </xf>
    <xf numFmtId="0" fontId="8" fillId="12" borderId="7" xfId="0" applyNumberFormat="1" applyFont="1" applyFill="1" applyBorder="1" applyAlignment="1" applyProtection="1">
      <alignment horizontal="center" vertical="center" wrapText="1"/>
    </xf>
    <xf numFmtId="0" fontId="8" fillId="11" borderId="7" xfId="0" applyNumberFormat="1" applyFont="1" applyFill="1" applyBorder="1" applyAlignment="1" applyProtection="1">
      <alignment horizontal="center" vertical="center" wrapText="1"/>
    </xf>
    <xf numFmtId="0" fontId="8" fillId="12" borderId="8" xfId="0" applyNumberFormat="1" applyFont="1" applyFill="1" applyBorder="1" applyAlignment="1" applyProtection="1">
      <alignment horizontal="center" vertical="center" wrapText="1"/>
    </xf>
    <xf numFmtId="0" fontId="8" fillId="12" borderId="29" xfId="0" applyNumberFormat="1" applyFont="1" applyFill="1" applyBorder="1" applyAlignment="1" applyProtection="1">
      <alignment horizontal="center" vertical="center" wrapText="1"/>
    </xf>
    <xf numFmtId="0" fontId="8" fillId="11" borderId="8" xfId="0" applyNumberFormat="1" applyFont="1" applyFill="1" applyBorder="1" applyAlignment="1" applyProtection="1">
      <alignment horizontal="center" vertical="center" wrapText="1"/>
    </xf>
    <xf numFmtId="0" fontId="4" fillId="7" borderId="44" xfId="0" applyFont="1" applyFill="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7" borderId="47" xfId="0" applyFont="1" applyFill="1" applyBorder="1" applyAlignment="1" applyProtection="1">
      <alignment horizontal="center" vertical="center" wrapText="1"/>
    </xf>
    <xf numFmtId="0" fontId="4" fillId="7" borderId="42" xfId="0" applyFont="1" applyFill="1" applyBorder="1" applyAlignment="1" applyProtection="1">
      <alignment horizontal="center" vertical="center" wrapText="1"/>
    </xf>
    <xf numFmtId="0" fontId="5" fillId="0" borderId="48" xfId="0" applyFont="1" applyBorder="1" applyAlignment="1" applyProtection="1">
      <alignment vertical="center" wrapText="1"/>
    </xf>
    <xf numFmtId="0" fontId="5" fillId="0" borderId="49" xfId="0" applyFont="1" applyBorder="1" applyAlignment="1" applyProtection="1">
      <alignment vertical="center" wrapText="1"/>
    </xf>
    <xf numFmtId="0" fontId="4" fillId="7" borderId="43" xfId="0" applyFont="1" applyFill="1" applyBorder="1" applyAlignment="1" applyProtection="1">
      <alignment horizontal="center" vertical="center" wrapText="1"/>
    </xf>
    <xf numFmtId="0" fontId="4" fillId="7" borderId="36" xfId="0" applyFont="1" applyFill="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50" xfId="0" applyFont="1" applyBorder="1" applyAlignment="1" applyProtection="1">
      <alignment vertical="center" wrapText="1"/>
    </xf>
    <xf numFmtId="0" fontId="4" fillId="7" borderId="37" xfId="0" applyFont="1" applyFill="1" applyBorder="1" applyAlignment="1" applyProtection="1">
      <alignment horizontal="center" vertical="center" wrapText="1"/>
    </xf>
    <xf numFmtId="0" fontId="4" fillId="7" borderId="38" xfId="0" applyFont="1" applyFill="1" applyBorder="1" applyAlignment="1" applyProtection="1">
      <alignment horizontal="center" vertical="center" wrapText="1"/>
    </xf>
    <xf numFmtId="0" fontId="5" fillId="0" borderId="51" xfId="0" applyFont="1" applyBorder="1" applyAlignment="1" applyProtection="1">
      <alignment vertical="center" wrapText="1"/>
    </xf>
    <xf numFmtId="0" fontId="5" fillId="0" borderId="52" xfId="0" applyFont="1" applyBorder="1" applyAlignment="1" applyProtection="1">
      <alignment vertical="center" wrapText="1"/>
    </xf>
    <xf numFmtId="0" fontId="4" fillId="7" borderId="41" xfId="0" applyFont="1" applyFill="1" applyBorder="1" applyAlignment="1" applyProtection="1">
      <alignment horizontal="center" vertical="center" wrapText="1"/>
    </xf>
    <xf numFmtId="0" fontId="18" fillId="0" borderId="0" xfId="0" applyFont="1" applyAlignment="1" applyProtection="1">
      <alignment wrapText="1"/>
      <protection locked="0"/>
    </xf>
    <xf numFmtId="0" fontId="5" fillId="0" borderId="0" xfId="0" applyFont="1" applyAlignment="1" applyProtection="1">
      <alignment horizontal="center" vertical="center" wrapText="1"/>
      <protection locked="0"/>
    </xf>
    <xf numFmtId="0" fontId="14" fillId="0" borderId="12" xfId="0" applyFont="1" applyBorder="1" applyAlignment="1" applyProtection="1">
      <alignment horizontal="left" vertical="center" indent="2"/>
      <protection locked="0"/>
    </xf>
    <xf numFmtId="0" fontId="3" fillId="10" borderId="5" xfId="0" applyFont="1" applyFill="1" applyBorder="1" applyAlignment="1" applyProtection="1">
      <alignment horizontal="center" vertical="center" wrapText="1"/>
      <protection locked="0"/>
    </xf>
    <xf numFmtId="0" fontId="3" fillId="10" borderId="19" xfId="0" applyFont="1" applyFill="1" applyBorder="1" applyAlignment="1" applyProtection="1">
      <alignment horizontal="center" vertical="center" wrapText="1"/>
      <protection locked="0"/>
    </xf>
    <xf numFmtId="0" fontId="28" fillId="0" borderId="12" xfId="0" applyFont="1" applyBorder="1" applyAlignment="1" applyProtection="1">
      <alignment horizontal="left" vertical="center" indent="5"/>
      <protection locked="0"/>
    </xf>
    <xf numFmtId="0" fontId="14" fillId="0" borderId="12" xfId="0" applyFont="1" applyBorder="1" applyAlignment="1" applyProtection="1">
      <alignment horizontal="left" vertical="center" wrapText="1" indent="2"/>
      <protection locked="0"/>
    </xf>
    <xf numFmtId="0" fontId="14" fillId="0" borderId="13" xfId="0" applyFont="1" applyBorder="1" applyAlignment="1" applyProtection="1">
      <alignment horizontal="left" vertical="center" wrapText="1" indent="5"/>
      <protection locked="0"/>
    </xf>
    <xf numFmtId="0" fontId="5" fillId="0" borderId="0" xfId="0" applyFont="1" applyAlignment="1" applyProtection="1">
      <protection locked="0"/>
    </xf>
    <xf numFmtId="0" fontId="3" fillId="9" borderId="1"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4" fillId="7" borderId="1" xfId="0" applyFont="1" applyFill="1" applyBorder="1" applyAlignment="1" applyProtection="1">
      <alignment horizontal="left" vertical="center"/>
    </xf>
    <xf numFmtId="0" fontId="5" fillId="0" borderId="0" xfId="0" applyFont="1" applyProtection="1"/>
    <xf numFmtId="0" fontId="5" fillId="0" borderId="0" xfId="0" applyFont="1" applyAlignment="1" applyProtection="1">
      <alignment horizontal="left" vertical="center"/>
    </xf>
    <xf numFmtId="0" fontId="5" fillId="5" borderId="0" xfId="0" applyFont="1" applyFill="1" applyAlignment="1" applyProtection="1">
      <alignment horizontal="center" vertical="center"/>
    </xf>
    <xf numFmtId="0" fontId="5" fillId="5" borderId="0" xfId="0" applyFont="1" applyFill="1" applyAlignment="1" applyProtection="1">
      <alignment horizontal="left" vertical="center" wrapText="1"/>
    </xf>
    <xf numFmtId="0" fontId="4" fillId="8" borderId="1" xfId="0" applyFont="1" applyFill="1" applyBorder="1" applyAlignment="1" applyProtection="1">
      <alignment vertical="center"/>
    </xf>
    <xf numFmtId="0" fontId="4" fillId="4"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5" fillId="0" borderId="0" xfId="0" applyFont="1" applyFill="1" applyAlignment="1" applyProtection="1">
      <alignment horizontal="left" vertical="center" wrapText="1"/>
    </xf>
    <xf numFmtId="0" fontId="9" fillId="0" borderId="0" xfId="0" applyFont="1" applyFill="1" applyAlignment="1" applyProtection="1">
      <alignment horizontal="left" vertical="center" wrapText="1"/>
    </xf>
    <xf numFmtId="0" fontId="16" fillId="0" borderId="0" xfId="0" applyFont="1" applyAlignment="1" applyProtection="1">
      <alignment horizontal="center" vertical="center" wrapText="1"/>
    </xf>
    <xf numFmtId="0" fontId="4" fillId="0" borderId="0" xfId="0" applyFont="1" applyFill="1" applyAlignment="1" applyProtection="1">
      <alignment horizontal="left" vertical="center"/>
    </xf>
    <xf numFmtId="44" fontId="5" fillId="0" borderId="0" xfId="2" applyFont="1" applyFill="1" applyAlignment="1" applyProtection="1">
      <alignment horizontal="left" vertical="center" wrapText="1"/>
    </xf>
    <xf numFmtId="44" fontId="5" fillId="8" borderId="0" xfId="2" applyFont="1" applyFill="1" applyAlignment="1" applyProtection="1">
      <alignment horizontal="left" vertical="center" wrapText="1"/>
    </xf>
    <xf numFmtId="0" fontId="5" fillId="0" borderId="0" xfId="0" applyFont="1" applyAlignment="1" applyProtection="1">
      <alignment horizontal="center" vertical="center"/>
    </xf>
    <xf numFmtId="0" fontId="5" fillId="0" borderId="0" xfId="0" applyFont="1" applyAlignment="1" applyProtection="1">
      <alignment horizontal="left" vertical="center" wrapText="1"/>
    </xf>
    <xf numFmtId="0" fontId="4" fillId="0" borderId="0" xfId="0" applyFont="1" applyAlignment="1" applyProtection="1">
      <alignment horizontal="left" vertical="center" indent="1"/>
    </xf>
    <xf numFmtId="0" fontId="7" fillId="0" borderId="0" xfId="0" applyFont="1" applyAlignment="1" applyProtection="1">
      <alignment horizontal="center" vertical="center" wrapText="1"/>
    </xf>
    <xf numFmtId="0" fontId="4" fillId="8" borderId="1" xfId="0" applyFont="1" applyFill="1" applyBorder="1" applyAlignment="1" applyProtection="1">
      <alignment horizontal="left" vertical="center" wrapText="1"/>
    </xf>
    <xf numFmtId="0" fontId="4" fillId="3" borderId="0" xfId="0" applyFont="1" applyFill="1" applyAlignment="1" applyProtection="1">
      <alignment horizontal="center" vertical="center" wrapText="1"/>
    </xf>
    <xf numFmtId="0" fontId="5" fillId="0" borderId="0" xfId="0" applyFont="1" applyAlignment="1" applyProtection="1">
      <alignment wrapText="1"/>
    </xf>
    <xf numFmtId="0" fontId="5" fillId="5" borderId="0" xfId="0" applyFont="1" applyFill="1" applyAlignment="1" applyProtection="1">
      <alignment horizontal="center" vertical="center" wrapText="1"/>
    </xf>
    <xf numFmtId="1" fontId="6" fillId="0" borderId="0" xfId="0" applyNumberFormat="1" applyFont="1" applyFill="1" applyAlignment="1" applyProtection="1">
      <alignment horizontal="center" vertical="center" wrapText="1"/>
    </xf>
    <xf numFmtId="0" fontId="11" fillId="0" borderId="0" xfId="0" applyFont="1" applyFill="1" applyAlignment="1" applyProtection="1">
      <alignment horizontal="center" vertical="center" wrapText="1"/>
    </xf>
    <xf numFmtId="0" fontId="8" fillId="0" borderId="0" xfId="0" applyFont="1" applyFill="1" applyAlignment="1" applyProtection="1">
      <alignment horizontal="center" vertical="center" wrapText="1"/>
    </xf>
    <xf numFmtId="0" fontId="10" fillId="0" borderId="0" xfId="0" applyFont="1" applyFill="1" applyAlignment="1" applyProtection="1">
      <alignment horizontal="center" vertical="center" wrapText="1"/>
    </xf>
    <xf numFmtId="0" fontId="10" fillId="0" borderId="0" xfId="0" applyNumberFormat="1" applyFont="1" applyFill="1" applyAlignment="1" applyProtection="1">
      <alignment horizontal="center" vertical="center" wrapText="1"/>
    </xf>
    <xf numFmtId="164" fontId="8" fillId="0" borderId="0" xfId="2" applyNumberFormat="1" applyFont="1" applyFill="1" applyAlignment="1" applyProtection="1">
      <alignment horizontal="center" vertical="center" wrapText="1"/>
    </xf>
    <xf numFmtId="1" fontId="8" fillId="0" borderId="0" xfId="0" applyNumberFormat="1" applyFont="1" applyFill="1" applyAlignment="1" applyProtection="1">
      <alignment horizontal="center" vertical="center" wrapText="1"/>
    </xf>
    <xf numFmtId="44" fontId="5" fillId="0" borderId="0" xfId="2" applyFont="1" applyAlignment="1" applyProtection="1">
      <alignment horizontal="right" vertical="center"/>
    </xf>
    <xf numFmtId="2" fontId="8" fillId="0" borderId="0" xfId="0" applyNumberFormat="1" applyFont="1" applyFill="1" applyAlignment="1" applyProtection="1">
      <alignment horizontal="center" vertical="center" wrapText="1"/>
    </xf>
    <xf numFmtId="0" fontId="18" fillId="0" borderId="0" xfId="0" applyFont="1" applyAlignment="1" applyProtection="1">
      <alignment wrapText="1"/>
    </xf>
    <xf numFmtId="0" fontId="5" fillId="0" borderId="0" xfId="0" applyFont="1" applyAlignment="1" applyProtection="1">
      <alignment horizontal="center" wrapText="1"/>
    </xf>
    <xf numFmtId="0" fontId="5" fillId="0" borderId="0" xfId="0" applyFont="1" applyAlignment="1" applyProtection="1">
      <alignment horizontal="center" vertical="center" wrapText="1"/>
    </xf>
    <xf numFmtId="0" fontId="3" fillId="10" borderId="18"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8" fillId="12" borderId="22" xfId="0" applyNumberFormat="1" applyFont="1" applyFill="1" applyBorder="1" applyAlignment="1" applyProtection="1">
      <alignment horizontal="center" vertical="center" wrapText="1"/>
    </xf>
    <xf numFmtId="0" fontId="8" fillId="11" borderId="20" xfId="0" applyNumberFormat="1" applyFont="1" applyFill="1" applyBorder="1" applyAlignment="1" applyProtection="1">
      <alignment horizontal="center" vertical="center" wrapText="1"/>
    </xf>
    <xf numFmtId="0" fontId="8" fillId="12" borderId="20" xfId="0" applyNumberFormat="1" applyFont="1" applyFill="1" applyBorder="1" applyAlignment="1" applyProtection="1">
      <alignment horizontal="center" vertical="center" wrapText="1"/>
    </xf>
    <xf numFmtId="0" fontId="5" fillId="0" borderId="0" xfId="0" applyFont="1" applyAlignment="1" applyProtection="1"/>
    <xf numFmtId="2" fontId="8" fillId="11" borderId="7" xfId="0" applyNumberFormat="1" applyFont="1" applyFill="1" applyBorder="1" applyAlignment="1" applyProtection="1">
      <alignment horizontal="center" vertical="center" wrapText="1"/>
    </xf>
    <xf numFmtId="0" fontId="8" fillId="12" borderId="21" xfId="0" applyNumberFormat="1" applyFont="1" applyFill="1" applyBorder="1" applyAlignment="1" applyProtection="1">
      <alignment horizontal="center" vertical="center" wrapText="1"/>
    </xf>
    <xf numFmtId="0" fontId="8" fillId="11" borderId="21" xfId="0" applyNumberFormat="1" applyFont="1" applyFill="1" applyBorder="1" applyAlignment="1" applyProtection="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3" fillId="10" borderId="23" xfId="0" applyFont="1" applyFill="1" applyBorder="1" applyAlignment="1" applyProtection="1">
      <alignment horizontal="center" vertical="center" wrapText="1"/>
      <protection locked="0"/>
    </xf>
    <xf numFmtId="0" fontId="3" fillId="10" borderId="2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0" borderId="54" xfId="0" applyFont="1" applyFill="1" applyBorder="1" applyAlignment="1">
      <alignment horizontal="left" vertical="center" wrapText="1"/>
    </xf>
    <xf numFmtId="0" fontId="3" fillId="9" borderId="54" xfId="0" applyFont="1" applyFill="1" applyBorder="1" applyAlignment="1">
      <alignment horizontal="center" vertical="center" wrapText="1"/>
    </xf>
    <xf numFmtId="44" fontId="5" fillId="8" borderId="54" xfId="2" applyFont="1" applyFill="1" applyBorder="1" applyAlignment="1">
      <alignment horizontal="left" vertical="center" wrapText="1"/>
    </xf>
    <xf numFmtId="0" fontId="8" fillId="0" borderId="0" xfId="0" applyFont="1" applyFill="1" applyAlignment="1" applyProtection="1">
      <alignment horizontal="center" vertical="center" wrapText="1"/>
      <protection locked="0"/>
    </xf>
    <xf numFmtId="0" fontId="30" fillId="0" borderId="0" xfId="0" applyFont="1" applyFill="1" applyAlignment="1" applyProtection="1">
      <alignment vertical="center" wrapText="1"/>
    </xf>
    <xf numFmtId="0" fontId="27" fillId="0" borderId="0" xfId="0" applyFont="1" applyFill="1" applyAlignment="1" applyProtection="1">
      <alignment vertical="center" wrapText="1"/>
    </xf>
    <xf numFmtId="0" fontId="32" fillId="0" borderId="0" xfId="0" applyFont="1" applyFill="1" applyAlignment="1" applyProtection="1">
      <alignment vertical="center" wrapText="1"/>
    </xf>
    <xf numFmtId="0" fontId="31" fillId="0" borderId="0" xfId="0" applyFont="1" applyFill="1" applyAlignment="1" applyProtection="1">
      <alignment vertical="center" wrapText="1"/>
    </xf>
    <xf numFmtId="0" fontId="3" fillId="3" borderId="4"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9" borderId="4" xfId="0" applyFont="1" applyFill="1" applyBorder="1" applyAlignment="1">
      <alignment horizontal="left" vertical="center" wrapText="1"/>
    </xf>
    <xf numFmtId="0" fontId="4" fillId="7" borderId="55" xfId="0" applyFont="1" applyFill="1" applyBorder="1" applyAlignment="1">
      <alignment horizontal="center" vertical="center" wrapText="1"/>
    </xf>
    <xf numFmtId="0" fontId="3" fillId="3" borderId="59" xfId="0" applyFont="1" applyFill="1" applyBorder="1" applyAlignment="1">
      <alignment horizontal="lef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3" fillId="3" borderId="60" xfId="0" applyFont="1" applyFill="1" applyBorder="1" applyAlignment="1">
      <alignment horizontal="left" vertical="center" wrapText="1"/>
    </xf>
    <xf numFmtId="0" fontId="5" fillId="0" borderId="58" xfId="0" applyFont="1" applyBorder="1" applyAlignment="1">
      <alignment vertical="center" wrapText="1"/>
    </xf>
    <xf numFmtId="0" fontId="3" fillId="6" borderId="59" xfId="0" applyFont="1" applyFill="1" applyBorder="1" applyAlignment="1">
      <alignment horizontal="left" vertical="center" wrapText="1"/>
    </xf>
    <xf numFmtId="0" fontId="3" fillId="9" borderId="60" xfId="0" applyFont="1" applyFill="1" applyBorder="1" applyAlignment="1">
      <alignment horizontal="left" vertical="center" wrapText="1"/>
    </xf>
    <xf numFmtId="0" fontId="5" fillId="14" borderId="49" xfId="0" applyFont="1" applyFill="1" applyBorder="1" applyAlignment="1">
      <alignment wrapText="1"/>
    </xf>
    <xf numFmtId="0" fontId="5" fillId="14" borderId="50" xfId="0" applyFont="1" applyFill="1" applyBorder="1" applyAlignment="1">
      <alignment wrapText="1"/>
    </xf>
    <xf numFmtId="0" fontId="5" fillId="14" borderId="58" xfId="0" applyFont="1" applyFill="1" applyBorder="1" applyAlignment="1">
      <alignment wrapText="1"/>
    </xf>
    <xf numFmtId="0" fontId="4" fillId="7" borderId="59" xfId="0" applyFont="1" applyFill="1" applyBorder="1" applyAlignment="1">
      <alignment horizontal="center" vertical="center" wrapText="1"/>
    </xf>
    <xf numFmtId="0" fontId="4" fillId="7" borderId="49" xfId="0" applyFont="1" applyFill="1" applyBorder="1" applyAlignment="1">
      <alignment horizontal="center" wrapText="1"/>
    </xf>
    <xf numFmtId="0" fontId="5" fillId="0" borderId="50" xfId="0" applyFont="1" applyBorder="1" applyAlignment="1">
      <alignment wrapText="1"/>
    </xf>
    <xf numFmtId="0" fontId="3" fillId="5" borderId="60" xfId="0" applyFont="1" applyFill="1" applyBorder="1" applyAlignment="1">
      <alignment horizontal="left" vertical="center" wrapText="1"/>
    </xf>
    <xf numFmtId="0" fontId="5" fillId="0" borderId="58" xfId="0" applyFont="1" applyBorder="1" applyAlignment="1">
      <alignment wrapText="1"/>
    </xf>
    <xf numFmtId="0" fontId="5" fillId="0" borderId="54" xfId="0" applyFont="1" applyBorder="1" applyAlignment="1">
      <alignment horizontal="left" vertical="center" wrapText="1"/>
    </xf>
    <xf numFmtId="0" fontId="5" fillId="15" borderId="61" xfId="0" applyFont="1" applyFill="1" applyBorder="1" applyAlignment="1">
      <alignment horizontal="center" vertical="center" wrapText="1"/>
    </xf>
    <xf numFmtId="0" fontId="5" fillId="0" borderId="61" xfId="0" applyFont="1" applyBorder="1" applyAlignment="1">
      <alignment horizontal="left" vertical="center" wrapText="1"/>
    </xf>
    <xf numFmtId="0" fontId="5" fillId="16" borderId="54"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8" fillId="0" borderId="0" xfId="0" applyFont="1" applyFill="1" applyAlignment="1">
      <alignment horizontal="center" vertical="center" wrapText="1"/>
    </xf>
    <xf numFmtId="0" fontId="37" fillId="0" borderId="63" xfId="0" applyFont="1" applyBorder="1" applyAlignment="1">
      <alignment horizontal="center" vertical="center" wrapText="1"/>
    </xf>
    <xf numFmtId="0" fontId="37" fillId="0" borderId="62" xfId="0" applyFont="1" applyBorder="1" applyAlignment="1">
      <alignment horizontal="center" vertical="center" wrapText="1"/>
    </xf>
    <xf numFmtId="0" fontId="3" fillId="5" borderId="64" xfId="0" applyFont="1" applyFill="1" applyBorder="1" applyAlignment="1">
      <alignment horizontal="left" vertical="center" wrapText="1"/>
    </xf>
    <xf numFmtId="0" fontId="3" fillId="5" borderId="65" xfId="0" applyFont="1" applyFill="1" applyBorder="1" applyAlignment="1">
      <alignment horizontal="left" vertical="center" wrapText="1"/>
    </xf>
    <xf numFmtId="0" fontId="3" fillId="5" borderId="66" xfId="0" applyFont="1" applyFill="1" applyBorder="1" applyAlignment="1">
      <alignment horizontal="left" vertical="center" wrapText="1"/>
    </xf>
    <xf numFmtId="0" fontId="41" fillId="0" borderId="0" xfId="3" applyFont="1" applyAlignment="1">
      <alignment horizontal="left" vertical="top" wrapText="1"/>
    </xf>
    <xf numFmtId="0" fontId="41" fillId="0" borderId="67" xfId="3" applyFont="1" applyBorder="1" applyAlignment="1">
      <alignment horizontal="left" vertical="top" wrapText="1"/>
    </xf>
    <xf numFmtId="0" fontId="41" fillId="0" borderId="67" xfId="3" applyFont="1" applyBorder="1" applyAlignment="1">
      <alignment horizontal="left" vertical="center" wrapText="1"/>
    </xf>
    <xf numFmtId="0" fontId="43" fillId="0" borderId="0" xfId="4" applyFont="1" applyAlignment="1">
      <alignment horizontal="left" vertical="top" wrapText="1"/>
    </xf>
    <xf numFmtId="0" fontId="43" fillId="0" borderId="0" xfId="4" applyFont="1" applyBorder="1" applyAlignment="1">
      <alignment horizontal="left" vertical="top" wrapText="1"/>
    </xf>
    <xf numFmtId="0" fontId="41" fillId="0" borderId="67" xfId="3" applyFont="1" applyBorder="1" applyAlignment="1">
      <alignment vertical="center" wrapText="1"/>
    </xf>
    <xf numFmtId="0" fontId="43" fillId="0" borderId="0" xfId="4" applyFont="1" applyAlignment="1">
      <alignment vertical="top" wrapText="1"/>
    </xf>
    <xf numFmtId="0" fontId="44" fillId="0" borderId="67" xfId="3" applyFont="1" applyBorder="1" applyAlignment="1">
      <alignment vertical="center" wrapText="1"/>
    </xf>
    <xf numFmtId="0" fontId="41" fillId="0" borderId="0" xfId="3" applyFont="1" applyAlignment="1">
      <alignment vertical="top" wrapText="1"/>
    </xf>
    <xf numFmtId="0" fontId="44" fillId="0" borderId="0" xfId="3" applyFont="1" applyAlignment="1">
      <alignment horizontal="left" vertical="top" wrapText="1"/>
    </xf>
    <xf numFmtId="0" fontId="38" fillId="17" borderId="2" xfId="0" applyFont="1" applyFill="1" applyBorder="1" applyAlignment="1">
      <alignment horizontal="center" vertical="center"/>
    </xf>
    <xf numFmtId="0" fontId="38" fillId="17" borderId="3" xfId="0" applyFont="1" applyFill="1" applyBorder="1" applyAlignment="1">
      <alignment horizontal="center" vertical="center"/>
    </xf>
    <xf numFmtId="0" fontId="38" fillId="17" borderId="4" xfId="0" applyFont="1" applyFill="1" applyBorder="1" applyAlignment="1">
      <alignment horizontal="center" vertical="center"/>
    </xf>
    <xf numFmtId="0" fontId="39" fillId="18" borderId="1" xfId="0" applyFont="1" applyFill="1" applyBorder="1" applyAlignment="1">
      <alignment horizontal="left" vertical="center" wrapText="1"/>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8" borderId="55" xfId="0" applyFont="1" applyFill="1" applyBorder="1" applyAlignment="1" applyProtection="1">
      <alignment horizontal="center" vertical="center" wrapText="1"/>
    </xf>
    <xf numFmtId="0" fontId="4" fillId="8" borderId="56" xfId="0" applyFont="1" applyFill="1" applyBorder="1" applyAlignment="1" applyProtection="1">
      <alignment horizontal="center" vertical="center" wrapText="1"/>
    </xf>
    <xf numFmtId="0" fontId="4" fillId="8" borderId="57" xfId="0" applyFont="1" applyFill="1" applyBorder="1" applyAlignment="1" applyProtection="1">
      <alignment horizontal="center" vertical="center" wrapText="1"/>
    </xf>
    <xf numFmtId="0" fontId="5" fillId="0" borderId="1" xfId="0" applyFont="1" applyBorder="1" applyAlignment="1" applyProtection="1">
      <alignment horizontal="left" vertical="center"/>
      <protection locked="0"/>
    </xf>
    <xf numFmtId="15" fontId="5" fillId="0" borderId="1" xfId="0" applyNumberFormat="1" applyFont="1" applyBorder="1" applyAlignment="1" applyProtection="1">
      <alignment horizontal="left" vertical="center"/>
      <protection locked="0"/>
    </xf>
    <xf numFmtId="0" fontId="5" fillId="0" borderId="1" xfId="0" applyFont="1" applyBorder="1" applyAlignment="1">
      <alignment horizontal="left" vertical="center" wrapText="1"/>
    </xf>
    <xf numFmtId="0" fontId="33" fillId="4" borderId="53"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34" fillId="0" borderId="53"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5" fillId="3" borderId="1" xfId="0" applyFont="1" applyFill="1" applyBorder="1" applyAlignment="1">
      <alignment horizontal="center" vertical="center" wrapText="1"/>
    </xf>
    <xf numFmtId="0" fontId="20" fillId="8" borderId="9" xfId="0" applyFont="1" applyFill="1" applyBorder="1" applyAlignment="1" applyProtection="1">
      <alignment horizontal="center" vertical="center"/>
      <protection locked="0"/>
    </xf>
    <xf numFmtId="0" fontId="20" fillId="8" borderId="10" xfId="0" applyFont="1" applyFill="1" applyBorder="1" applyAlignment="1" applyProtection="1">
      <alignment horizontal="center" vertical="center"/>
      <protection locked="0"/>
    </xf>
    <xf numFmtId="0" fontId="20" fillId="8" borderId="11" xfId="0" applyFont="1" applyFill="1" applyBorder="1" applyAlignment="1" applyProtection="1">
      <alignment horizontal="center" vertical="center"/>
      <protection locked="0"/>
    </xf>
    <xf numFmtId="0" fontId="21" fillId="0" borderId="9" xfId="0" applyFont="1" applyBorder="1" applyAlignment="1" applyProtection="1">
      <alignment horizontal="center" wrapText="1"/>
      <protection locked="0"/>
    </xf>
    <xf numFmtId="0" fontId="21" fillId="0" borderId="11" xfId="0" applyFont="1" applyBorder="1" applyAlignment="1" applyProtection="1">
      <alignment horizontal="center" wrapText="1"/>
      <protection locked="0"/>
    </xf>
    <xf numFmtId="0" fontId="3" fillId="10" borderId="15" xfId="0" applyFont="1" applyFill="1" applyBorder="1" applyAlignment="1" applyProtection="1">
      <alignment horizontal="center" vertical="center" wrapText="1"/>
      <protection locked="0"/>
    </xf>
    <xf numFmtId="0" fontId="3" fillId="10" borderId="16" xfId="0" applyFont="1" applyFill="1" applyBorder="1" applyAlignment="1" applyProtection="1">
      <alignment horizontal="center" vertical="center" wrapText="1"/>
      <protection locked="0"/>
    </xf>
    <xf numFmtId="0" fontId="3" fillId="10" borderId="17" xfId="0" applyFont="1" applyFill="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3" fillId="10" borderId="12"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3" fillId="10" borderId="30" xfId="0" applyFont="1" applyFill="1" applyBorder="1" applyAlignment="1" applyProtection="1">
      <alignment horizontal="center" vertical="center" wrapText="1"/>
      <protection locked="0"/>
    </xf>
    <xf numFmtId="0" fontId="3" fillId="10" borderId="25" xfId="0" applyFont="1" applyFill="1" applyBorder="1" applyAlignment="1" applyProtection="1">
      <alignment horizontal="center" vertical="center" wrapText="1"/>
      <protection locked="0"/>
    </xf>
    <xf numFmtId="0" fontId="3" fillId="10" borderId="14" xfId="0" applyFont="1" applyFill="1" applyBorder="1" applyAlignment="1" applyProtection="1">
      <alignment horizontal="center" vertical="center" wrapText="1"/>
      <protection locked="0"/>
    </xf>
    <xf numFmtId="0" fontId="3" fillId="10" borderId="24" xfId="0" applyFont="1" applyFill="1" applyBorder="1" applyAlignment="1" applyProtection="1">
      <alignment horizontal="center" vertical="center" wrapText="1"/>
      <protection locked="0"/>
    </xf>
    <xf numFmtId="0" fontId="3" fillId="10" borderId="23" xfId="0" applyFont="1" applyFill="1" applyBorder="1" applyAlignment="1" applyProtection="1">
      <alignment horizontal="center" vertical="center" wrapText="1"/>
      <protection locked="0"/>
    </xf>
    <xf numFmtId="0" fontId="3" fillId="10" borderId="26" xfId="0" applyFont="1" applyFill="1" applyBorder="1" applyAlignment="1" applyProtection="1">
      <alignment horizontal="center" vertical="center" wrapText="1"/>
      <protection locked="0"/>
    </xf>
    <xf numFmtId="0" fontId="23" fillId="8" borderId="9" xfId="0" applyFont="1" applyFill="1" applyBorder="1" applyAlignment="1" applyProtection="1">
      <alignment horizontal="center" vertical="center" wrapText="1"/>
      <protection locked="0"/>
    </xf>
    <xf numFmtId="0" fontId="23" fillId="8" borderId="10" xfId="0" applyFont="1" applyFill="1" applyBorder="1" applyAlignment="1" applyProtection="1">
      <alignment horizontal="center" vertical="center" wrapText="1"/>
      <protection locked="0"/>
    </xf>
    <xf numFmtId="0" fontId="23" fillId="8" borderId="11" xfId="0" applyFont="1" applyFill="1" applyBorder="1" applyAlignment="1" applyProtection="1">
      <alignment horizontal="center" vertical="center" wrapText="1"/>
      <protection locked="0"/>
    </xf>
    <xf numFmtId="0" fontId="27" fillId="13" borderId="0" xfId="0" applyFont="1" applyFill="1" applyAlignment="1" applyProtection="1">
      <alignment horizontal="center" vertical="center" wrapText="1"/>
    </xf>
    <xf numFmtId="0" fontId="3" fillId="4" borderId="1" xfId="0" applyFont="1" applyFill="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center" wrapText="1"/>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5" fillId="0" borderId="1" xfId="0" applyFont="1" applyBorder="1" applyAlignment="1" applyProtection="1">
      <alignment horizontal="left" vertical="center"/>
    </xf>
    <xf numFmtId="15" fontId="5" fillId="0" borderId="1" xfId="0" applyNumberFormat="1" applyFont="1" applyBorder="1" applyAlignment="1" applyProtection="1">
      <alignment horizontal="left" vertical="center"/>
    </xf>
    <xf numFmtId="0" fontId="5" fillId="0" borderId="1" xfId="0" applyFont="1" applyBorder="1" applyAlignment="1" applyProtection="1">
      <alignment horizontal="left" vertical="center" wrapText="1"/>
    </xf>
    <xf numFmtId="0" fontId="3" fillId="10" borderId="15"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wrapText="1"/>
    </xf>
    <xf numFmtId="0" fontId="20" fillId="8" borderId="9" xfId="0" applyFont="1" applyFill="1" applyBorder="1" applyAlignment="1" applyProtection="1">
      <alignment horizontal="center" vertical="center"/>
    </xf>
    <xf numFmtId="0" fontId="20" fillId="8" borderId="10" xfId="0" applyFont="1" applyFill="1" applyBorder="1" applyAlignment="1" applyProtection="1">
      <alignment horizontal="center" vertical="center"/>
    </xf>
    <xf numFmtId="0" fontId="20" fillId="8" borderId="11" xfId="0" applyFont="1" applyFill="1" applyBorder="1" applyAlignment="1" applyProtection="1">
      <alignment horizontal="center" vertical="center"/>
    </xf>
    <xf numFmtId="0" fontId="3" fillId="10" borderId="30"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26" xfId="0" applyFont="1" applyFill="1" applyBorder="1" applyAlignment="1">
      <alignment horizontal="center" vertical="center" wrapText="1"/>
    </xf>
  </cellXfs>
  <cellStyles count="5">
    <cellStyle name="Currency" xfId="2" builtinId="4"/>
    <cellStyle name="Hyperlink 2" xfId="4" xr:uid="{0CB9B323-17D9-4C6D-83F3-086F05562FBC}"/>
    <cellStyle name="Normal" xfId="0" builtinId="0"/>
    <cellStyle name="Normal 2" xfId="3" xr:uid="{FFAC3ACF-489C-47B4-88E6-FE59E4F8C723}"/>
    <cellStyle name="Percent" xfId="1" builtinId="5"/>
  </cellStyles>
  <dxfs count="218">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strike val="0"/>
        <outline val="0"/>
        <shadow val="0"/>
        <vertAlign val="baseline"/>
        <sz val="10"/>
        <name val="Arial"/>
        <family val="2"/>
        <scheme val="none"/>
      </font>
      <fill>
        <patternFill patternType="none">
          <fgColor indexed="64"/>
          <bgColor auto="1"/>
        </patternFill>
      </fill>
      <alignment horizontal="center" vertical="center" textRotation="0" wrapText="0" indent="0" justifyLastLine="0" shrinkToFit="0" readingOrder="0"/>
      <protection locked="1" hidden="0"/>
    </dxf>
    <dxf>
      <font>
        <strike val="0"/>
        <outline val="0"/>
        <shadow val="0"/>
        <vertAlign val="baseline"/>
        <sz val="10"/>
        <name val="Arial"/>
        <family val="2"/>
        <scheme val="none"/>
      </font>
      <fill>
        <patternFill patternType="none">
          <fgColor rgb="FF000000"/>
          <bgColor auto="1"/>
        </patternFill>
      </fill>
      <alignment horizontal="left" vertical="center" textRotation="0"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protection locked="1"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1"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1"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1" hidden="0"/>
    </dxf>
    <dxf>
      <font>
        <b/>
        <strike val="0"/>
        <outline val="0"/>
        <shadow val="0"/>
        <vertAlign val="baseline"/>
        <sz val="10"/>
        <name val="Arial"/>
        <family val="2"/>
        <scheme val="none"/>
      </font>
      <alignment horizontal="left" vertical="center" textRotation="0" wrapText="0" indent="0" justifyLastLine="0" shrinkToFit="0" readingOrder="0"/>
      <protection locked="1" hidden="0"/>
    </dxf>
    <dxf>
      <font>
        <strike val="0"/>
        <outline val="0"/>
        <shadow val="0"/>
        <vertAlign val="baseline"/>
        <sz val="10"/>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protection locked="1" hidden="0"/>
    </dxf>
    <dxf>
      <font>
        <strike val="0"/>
        <outline val="0"/>
        <shadow val="0"/>
        <vertAlign val="baseline"/>
        <sz val="10"/>
        <name val="Arial"/>
        <family val="2"/>
        <scheme val="none"/>
      </font>
      <numFmt numFmtId="0" formatCode="General"/>
      <alignment horizontal="center" vertical="center" textRotation="0" wrapText="0" indent="0" justifyLastLine="0" shrinkToFit="0" readingOrder="0"/>
      <protection locked="1" hidden="0"/>
    </dxf>
    <dxf>
      <font>
        <strike val="0"/>
        <outline val="0"/>
        <shadow val="0"/>
        <vertAlign val="baseline"/>
        <sz val="10"/>
        <name val="Arial"/>
        <family val="2"/>
        <scheme val="none"/>
      </font>
      <alignment horizontal="center" vertical="center" textRotation="0" wrapText="0" indent="0" justifyLastLine="0" shrinkToFit="0" readingOrder="0"/>
      <protection locked="1" hidden="0"/>
    </dxf>
    <dxf>
      <font>
        <strike val="0"/>
        <outline val="0"/>
        <shadow val="0"/>
        <vertAlign val="baseline"/>
        <sz val="10"/>
        <name val="Arial"/>
        <family val="2"/>
        <scheme val="none"/>
      </font>
      <alignment horizontal="right" vertical="center" textRotation="0" wrapText="0" indent="0" justifyLastLine="0" shrinkToFit="0" readingOrder="0"/>
      <protection locked="1" hidden="0"/>
    </dxf>
    <dxf>
      <font>
        <strike val="0"/>
        <outline val="0"/>
        <shadow val="0"/>
        <vertAlign val="baseline"/>
        <sz val="10"/>
        <name val="Arial"/>
        <family val="2"/>
        <scheme val="none"/>
      </font>
      <alignment horizontal="right" vertical="center" textRotation="0" wrapText="0" indent="0" justifyLastLine="0" shrinkToFit="0" readingOrder="0"/>
      <protection locked="1" hidden="0"/>
    </dxf>
    <dxf>
      <font>
        <strike val="0"/>
        <outline val="0"/>
        <shadow val="0"/>
        <vertAlign val="baseline"/>
        <sz val="10"/>
        <name val="Arial"/>
        <family val="2"/>
        <scheme val="none"/>
      </font>
      <fill>
        <patternFill patternType="solid">
          <fgColor indexed="64"/>
          <bgColor rgb="FF00206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1" hidden="0"/>
    </dxf>
    <dxf>
      <font>
        <b/>
        <i/>
        <strike val="0"/>
        <condense val="0"/>
        <extend val="0"/>
        <outline val="0"/>
        <shadow val="0"/>
        <u/>
        <vertAlign val="baseline"/>
        <sz val="10"/>
        <color rgb="FF000000"/>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right/>
        <top style="medium">
          <color rgb="FF0086BF"/>
        </top>
        <bottom style="medium">
          <color rgb="FF0086BF"/>
        </bottom>
      </border>
      <protection locked="1"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strike val="0"/>
        <outline val="0"/>
        <shadow val="0"/>
        <vertAlign val="baseline"/>
        <sz val="10"/>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alignment horizontal="left"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0"/>
        <name val="Arial"/>
        <family val="2"/>
        <scheme val="none"/>
      </font>
      <numFmt numFmtId="13" formatCode="0%"/>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left"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b/>
        <strike val="0"/>
        <outline val="0"/>
        <shadow val="0"/>
        <vertAlign val="baseline"/>
        <sz val="10"/>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0"/>
        <name val="Arial"/>
        <family val="2"/>
        <scheme val="none"/>
      </font>
      <fill>
        <patternFill patternType="none">
          <fgColor rgb="FF000000"/>
          <bgColor auto="1"/>
        </patternFill>
      </fill>
      <alignment horizontal="left" vertical="center" textRotation="0"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vertAlign val="baseline"/>
        <sz val="10"/>
        <name val="Arial"/>
        <family val="2"/>
        <scheme val="none"/>
      </font>
      <alignment horizontal="left" vertical="center" textRotation="0" wrapText="0" indent="0" justifyLastLine="0" shrinkToFit="0" readingOrder="0"/>
    </dxf>
    <dxf>
      <font>
        <strike val="0"/>
        <outline val="0"/>
        <shadow val="0"/>
        <vertAlign val="baseline"/>
        <sz val="10"/>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b/>
        <strike val="0"/>
        <outline val="0"/>
        <shadow val="0"/>
        <vertAlign val="baseline"/>
        <sz val="10"/>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0"/>
        <name val="Arial"/>
        <family val="2"/>
        <scheme val="none"/>
      </font>
      <fill>
        <patternFill patternType="none">
          <fgColor rgb="FF000000"/>
          <bgColor auto="1"/>
        </patternFill>
      </fill>
      <alignment horizontal="left" vertical="center" textRotation="0"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vertAlign val="baseline"/>
        <sz val="10"/>
        <name val="Arial"/>
        <family val="2"/>
        <scheme val="none"/>
      </font>
      <alignment horizontal="left" vertical="center" textRotation="0" wrapText="0" indent="0" justifyLastLine="0" shrinkToFit="0" readingOrder="0"/>
    </dxf>
    <dxf>
      <font>
        <strike val="0"/>
        <outline val="0"/>
        <shadow val="0"/>
        <vertAlign val="baseline"/>
        <sz val="10"/>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vertAlign val="baseline"/>
        <sz val="1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i/>
        <strike val="0"/>
        <condense val="0"/>
        <extend val="0"/>
        <outline val="0"/>
        <shadow val="0"/>
        <u/>
        <vertAlign val="baseline"/>
        <sz val="10"/>
        <color rgb="FF000000"/>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border outline="0">
        <left style="thin">
          <color theme="0"/>
        </left>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right style="thin">
          <color theme="0"/>
        </right>
        <top style="medium">
          <color rgb="FF0086BF"/>
        </top>
        <bottom style="medium">
          <color rgb="FF0086BF"/>
        </bottom>
      </border>
      <protection locked="1"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strike val="0"/>
        <outline val="0"/>
        <shadow val="0"/>
        <vertAlign val="baseline"/>
        <sz val="10"/>
        <name val="Arial"/>
        <family val="2"/>
        <scheme val="none"/>
      </font>
      <fill>
        <patternFill patternType="none">
          <fgColor rgb="FF000000"/>
          <bgColor auto="1"/>
        </patternFill>
      </fill>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wrapText="1" indent="0" justifyLastLine="0" shrinkToFit="0" readingOrder="0"/>
    </dxf>
    <dxf>
      <font>
        <b/>
        <strike val="0"/>
        <outline val="0"/>
        <shadow val="0"/>
        <vertAlign val="baseline"/>
        <sz val="10"/>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0"/>
        <name val="Arial"/>
        <family val="2"/>
        <scheme val="none"/>
      </font>
      <fill>
        <patternFill patternType="none">
          <fgColor indexed="64"/>
          <bgColor auto="1"/>
        </patternFill>
      </fill>
      <alignment horizontal="left" vertical="center" textRotation="0"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u val="none"/>
        <vertAlign val="baseline"/>
        <sz val="10"/>
        <color rgb="FF7030A0"/>
        <name val="Arial"/>
        <family val="2"/>
        <scheme val="none"/>
      </font>
      <alignment horizontal="center" vertical="center" textRotation="0" wrapText="1" indent="0" justifyLastLine="0" shrinkToFit="0" readingOrder="0"/>
      <protection locked="0" hidden="0"/>
    </dxf>
    <dxf>
      <font>
        <b/>
        <strike val="0"/>
        <outline val="0"/>
        <shadow val="0"/>
        <vertAlign val="baseline"/>
        <sz val="10"/>
        <name val="Arial"/>
        <family val="2"/>
        <scheme val="none"/>
      </font>
      <alignment horizontal="left" vertical="center" textRotation="0" wrapText="0" indent="0" justifyLastLine="0" shrinkToFit="0" readingOrder="0"/>
    </dxf>
    <dxf>
      <font>
        <strike val="0"/>
        <outline val="0"/>
        <shadow val="0"/>
        <vertAlign val="baseline"/>
        <sz val="10"/>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rgb="FF92D050"/>
        </patternFill>
      </fill>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vertAlign val="baseline"/>
        <sz val="1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i/>
        <strike val="0"/>
        <condense val="0"/>
        <extend val="0"/>
        <outline val="0"/>
        <shadow val="0"/>
        <u/>
        <vertAlign val="baseline"/>
        <sz val="10"/>
        <color rgb="FF000000"/>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right/>
        <top style="medium">
          <color rgb="FF0086BF"/>
        </top>
        <bottom style="medium">
          <color rgb="FF0086BF"/>
        </bottom>
      </border>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vertAlign val="baseline"/>
        <sz val="10"/>
        <name val="Arial"/>
        <family val="2"/>
        <scheme val="none"/>
      </font>
      <fill>
        <patternFill patternType="none">
          <fgColor indexed="64"/>
          <bgColor auto="1"/>
        </patternFill>
      </fill>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003B5C"/>
      <color rgb="FFA391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28575</xdr:rowOff>
    </xdr:from>
    <xdr:to>
      <xdr:col>11</xdr:col>
      <xdr:colOff>352424</xdr:colOff>
      <xdr:row>58</xdr:row>
      <xdr:rowOff>159617</xdr:rowOff>
    </xdr:to>
    <xdr:pic>
      <xdr:nvPicPr>
        <xdr:cNvPr id="4" name="Picture 3">
          <a:extLst>
            <a:ext uri="{FF2B5EF4-FFF2-40B4-BE49-F238E27FC236}">
              <a16:creationId xmlns:a16="http://schemas.microsoft.com/office/drawing/2014/main" id="{30F8840F-7B49-491A-BE51-9FC6F362DD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28575"/>
          <a:ext cx="8696325" cy="111800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5278967</xdr:colOff>
      <xdr:row>41</xdr:row>
      <xdr:rowOff>63500</xdr:rowOff>
    </xdr:to>
    <xdr:sp macro="" textlink="">
      <xdr:nvSpPr>
        <xdr:cNvPr id="2" name="Object 2" hidden="1">
          <a:extLst>
            <a:ext uri="{63B3BB69-23CF-44E3-9099-C40C66FF867C}">
              <a14:compatExt xmlns:a14="http://schemas.microsoft.com/office/drawing/2010/main" spid="_x0000_s1026"/>
            </a:ext>
            <a:ext uri="{FF2B5EF4-FFF2-40B4-BE49-F238E27FC236}">
              <a16:creationId xmlns:a16="http://schemas.microsoft.com/office/drawing/2014/main" id="{CBFEFBAC-6CA7-4041-9B6C-47F3BE824B80}"/>
            </a:ext>
          </a:extLst>
        </xdr:cNvPr>
        <xdr:cNvSpPr/>
      </xdr:nvSpPr>
      <xdr:spPr bwMode="auto">
        <a:xfrm>
          <a:off x="0" y="0"/>
          <a:ext cx="7812617" cy="10045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4232</xdr:colOff>
      <xdr:row>1</xdr:row>
      <xdr:rowOff>55035</xdr:rowOff>
    </xdr:from>
    <xdr:to>
      <xdr:col>1</xdr:col>
      <xdr:colOff>1578524</xdr:colOff>
      <xdr:row>1</xdr:row>
      <xdr:rowOff>420795</xdr:rowOff>
    </xdr:to>
    <xdr:pic>
      <xdr:nvPicPr>
        <xdr:cNvPr id="3" name="Graphic 2">
          <a:extLst>
            <a:ext uri="{FF2B5EF4-FFF2-40B4-BE49-F238E27FC236}">
              <a16:creationId xmlns:a16="http://schemas.microsoft.com/office/drawing/2014/main" id="{D6CAE05E-80F0-46A9-AFD4-84B3BD5EF4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8107" y="559860"/>
          <a:ext cx="1574292" cy="365760"/>
        </a:xfrm>
        <a:prstGeom prst="rect">
          <a:avLst/>
        </a:prstGeom>
      </xdr:spPr>
    </xdr:pic>
    <xdr:clientData/>
  </xdr:twoCellAnchor>
  <xdr:twoCellAnchor editAs="oneCell">
    <xdr:from>
      <xdr:col>1</xdr:col>
      <xdr:colOff>4233</xdr:colOff>
      <xdr:row>4</xdr:row>
      <xdr:rowOff>55035</xdr:rowOff>
    </xdr:from>
    <xdr:to>
      <xdr:col>1</xdr:col>
      <xdr:colOff>1580049</xdr:colOff>
      <xdr:row>5</xdr:row>
      <xdr:rowOff>67227</xdr:rowOff>
    </xdr:to>
    <xdr:pic>
      <xdr:nvPicPr>
        <xdr:cNvPr id="4" name="Graphic 2">
          <a:extLst>
            <a:ext uri="{FF2B5EF4-FFF2-40B4-BE49-F238E27FC236}">
              <a16:creationId xmlns:a16="http://schemas.microsoft.com/office/drawing/2014/main" id="{6AF9001B-13F4-4ACC-B48D-C88F4A1B62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28108" y="2341035"/>
          <a:ext cx="1575816" cy="393192"/>
        </a:xfrm>
        <a:prstGeom prst="rect">
          <a:avLst/>
        </a:prstGeom>
      </xdr:spPr>
    </xdr:pic>
    <xdr:clientData/>
  </xdr:twoCellAnchor>
  <xdr:twoCellAnchor editAs="oneCell">
    <xdr:from>
      <xdr:col>0</xdr:col>
      <xdr:colOff>520697</xdr:colOff>
      <xdr:row>7</xdr:row>
      <xdr:rowOff>50802</xdr:rowOff>
    </xdr:from>
    <xdr:to>
      <xdr:col>1</xdr:col>
      <xdr:colOff>1746247</xdr:colOff>
      <xdr:row>9</xdr:row>
      <xdr:rowOff>110068</xdr:rowOff>
    </xdr:to>
    <xdr:pic>
      <xdr:nvPicPr>
        <xdr:cNvPr id="5" name="Graphic 3">
          <a:extLst>
            <a:ext uri="{FF2B5EF4-FFF2-40B4-BE49-F238E27FC236}">
              <a16:creationId xmlns:a16="http://schemas.microsoft.com/office/drawing/2014/main" id="{61273778-79BA-4B72-A70D-A8CBC1FAE27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20697" y="3365502"/>
          <a:ext cx="1749425" cy="449791"/>
        </a:xfrm>
        <a:prstGeom prst="rect">
          <a:avLst/>
        </a:prstGeom>
      </xdr:spPr>
    </xdr:pic>
    <xdr:clientData/>
  </xdr:twoCellAnchor>
  <xdr:twoCellAnchor editAs="oneCell">
    <xdr:from>
      <xdr:col>1</xdr:col>
      <xdr:colOff>0</xdr:colOff>
      <xdr:row>10</xdr:row>
      <xdr:rowOff>50802</xdr:rowOff>
    </xdr:from>
    <xdr:to>
      <xdr:col>1</xdr:col>
      <xdr:colOff>1270635</xdr:colOff>
      <xdr:row>12</xdr:row>
      <xdr:rowOff>34928</xdr:rowOff>
    </xdr:to>
    <xdr:pic>
      <xdr:nvPicPr>
        <xdr:cNvPr id="6" name="Graphic 8">
          <a:extLst>
            <a:ext uri="{FF2B5EF4-FFF2-40B4-BE49-F238E27FC236}">
              <a16:creationId xmlns:a16="http://schemas.microsoft.com/office/drawing/2014/main" id="{91823EEF-05CD-4722-8B1D-62CCFB10F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23875" y="4260852"/>
          <a:ext cx="1270635" cy="288926"/>
        </a:xfrm>
        <a:prstGeom prst="rect">
          <a:avLst/>
        </a:prstGeom>
      </xdr:spPr>
    </xdr:pic>
    <xdr:clientData/>
  </xdr:twoCellAnchor>
  <xdr:twoCellAnchor editAs="oneCell">
    <xdr:from>
      <xdr:col>1</xdr:col>
      <xdr:colOff>0</xdr:colOff>
      <xdr:row>12</xdr:row>
      <xdr:rowOff>148167</xdr:rowOff>
    </xdr:from>
    <xdr:to>
      <xdr:col>1</xdr:col>
      <xdr:colOff>1617980</xdr:colOff>
      <xdr:row>13</xdr:row>
      <xdr:rowOff>2117</xdr:rowOff>
    </xdr:to>
    <xdr:pic>
      <xdr:nvPicPr>
        <xdr:cNvPr id="7" name="Graphic 4">
          <a:extLst>
            <a:ext uri="{FF2B5EF4-FFF2-40B4-BE49-F238E27FC236}">
              <a16:creationId xmlns:a16="http://schemas.microsoft.com/office/drawing/2014/main" id="{5CDDC779-A898-4DC1-8C7B-AFB6360B4FB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23875" y="4663017"/>
          <a:ext cx="1617980" cy="282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ntrols\CIS-RAM\CIS%20RAM%202.0\CIS%20RAM%20IG3\CIS_RAM_v2.1_for_IG3_Workbook_3.22.2022%20-%20Working%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bnfileserver\homedrive\Controls\CIS-RAM\CIS%20RAM%202.0\CSAT\CIS%20RAM%20IG1%20Workbook%20-%20Draft%20-%20Protected%20-%2020210628_csat_tab%20-%20V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ontrols\CIS-RAM\CIS%20RAM%202.0\Final%20Drafts\Marketing\CIS%20RAM%20for%20IG1%20Workbook%20v21.10.Spreadsheet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ad_Me"/>
      <sheetName val="CIS Controls Resources"/>
      <sheetName val="1. Impact Criteria Survey "/>
      <sheetName val="2. Enterprise Parameters"/>
      <sheetName val="3 Risk Register Controls v8"/>
      <sheetName val="Legend"/>
      <sheetName val="Lookup Tables"/>
      <sheetName val="CIS CSAT Pro"/>
      <sheetName val="CIS-Hosted CSAT"/>
      <sheetName val="Impact Criteria Survey-EXAMPLE"/>
      <sheetName val="Enterprise Parameters-EXAMPLE"/>
      <sheetName val="Risk Register Controls v8-EX"/>
      <sheetName val="CIS CSAT Pro - EXAMPLE"/>
      <sheetName val="CIS-Hosted CSAT - EXAMPLE"/>
      <sheetName val="CIS_RAM_v2"/>
    </sheetNames>
    <sheetDataSet>
      <sheetData sheetId="0"/>
      <sheetData sheetId="1"/>
      <sheetData sheetId="2"/>
      <sheetData sheetId="3"/>
      <sheetData sheetId="4">
        <row r="35">
          <cell r="E35">
            <v>0</v>
          </cell>
        </row>
      </sheetData>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7.1 for IG1"/>
      <sheetName val="Risk Register 8 for IG1"/>
      <sheetName val="Lookup Tables"/>
      <sheetName val="import_from_CSAT"/>
      <sheetName val="CIS RAM IG1 Workbook - Draft - "/>
    </sheetNames>
    <sheetDataSet>
      <sheetData sheetId="0"/>
      <sheetData sheetId="1" refreshError="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isk Register 7.1 for IG1"/>
      <sheetName val="Risk Register 8 for IG1"/>
      <sheetName val="Legend"/>
      <sheetName val="Lookup Tables"/>
      <sheetName val="CIS CSAT Pro"/>
      <sheetName val="CIS-Hosted CSAT"/>
      <sheetName val="CIS Controls Resources"/>
      <sheetName val="Risk Register 7.1 - EXAMPLE"/>
      <sheetName val="CIS CSAT Pro - EXAMPLE"/>
      <sheetName val="CIS-Hosted CSAT - EXAMPLE"/>
      <sheetName val="CIS RAM for IG1 Workbook v21"/>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2A27D7-61B8-430D-B69B-1B59811569E3}" name="tblRiskRegister" displayName="tblRiskRegister" ref="B33:AB76" totalsRowShown="0" headerRowDxfId="217" dataDxfId="216">
  <autoFilter ref="B33:AB76" xr:uid="{9DD1637E-6A24-4152-BF1D-6C69C54474D3}"/>
  <sortState ref="B34:M76">
    <sortCondition ref="B33:B76"/>
  </sortState>
  <tableColumns count="27">
    <tableColumn id="1" xr3:uid="{93687955-12A0-4CBC-A908-DEDE29D1F156}" name="CIS Safeguard #" dataDxfId="215"/>
    <tableColumn id="2" xr3:uid="{3D061BEC-ED83-481D-9191-E5618E439C3F}" name="CIS Safeguard Title" dataDxfId="214"/>
    <tableColumn id="20" xr3:uid="{2BB5CDE2-3575-423F-9A7F-51D0377B4040}" name="NIST CSF Security Function" dataDxfId="213"/>
    <tableColumn id="4" xr3:uid="{CDF0997F-C942-4A78-9724-11DA5B53DEDC}" name="Asset Class" dataDxfId="212"/>
    <tableColumn id="3" xr3:uid="{A8B59FF6-0B89-4A64-8D24-918ED6066BDB}" name="Safeguard Maturity Score" dataDxfId="211"/>
    <tableColumn id="27" xr3:uid="{A161AB2F-B724-4C14-91A0-A0B49B0D944F}" name="VCDB Index" dataDxfId="210">
      <calculatedColumnFormula>IFERROR(VLOOKUP(tblRiskRegister[[#This Row],[Asset Class]],tblVCDBIndex[],4,FALSE),"")</calculatedColumnFormula>
    </tableColumn>
    <tableColumn id="9" xr3:uid="{A152BC6F-E2B9-4DA9-A2D5-8910DBD475EB}" name="Expectancy Score" dataDxfId="209">
      <calculatedColumnFormula>IFERROR(VLOOKUP(10*tblRiskRegister[[#This Row],[Safeguard Maturity Score]]+tblRiskRegister[[#This Row],[VCDB Index]],tblHITIndexWeightTable[],4,FALSE),"")</calculatedColumnFormula>
    </tableColumn>
    <tableColumn id="10" xr3:uid="{525D42ED-649B-4F63-9161-5FC520B90C8A}" name="Impact to Mission" dataDxfId="208">
      <calculatedColumnFormula>VLOOKUP(tblRiskRegister[[#This Row],[Asset Class]],tblImpactIndex[],2,FALSE)</calculatedColumnFormula>
    </tableColumn>
    <tableColumn id="11" xr3:uid="{CD69F313-D866-4D4E-A8B0-5163D8EB2A20}" name="Impact to Operational Objectives" dataDxfId="207">
      <calculatedColumnFormula>VLOOKUP(tblRiskRegister[[#This Row],[Asset Class]],tblImpactIndex[],3,FALSE)</calculatedColumnFormula>
    </tableColumn>
    <tableColumn id="12" xr3:uid="{DFCFA3E3-F664-4994-AFC3-03652C8BFF37}" name="Impact to Obligations" dataDxfId="206">
      <calculatedColumnFormula>VLOOKUP(tblRiskRegister[[#This Row],[Asset Class]],tblImpactIndex[],4,FALSE)</calculatedColumnFormula>
    </tableColumn>
    <tableColumn id="13" xr3:uid="{F63A4802-B989-4C3B-B668-5D1F4CE9E2D7}" name="Risk Score" dataDxfId="205">
      <calculatedColumnFormula>IFERROR(MAX(tblRiskRegister[[#This Row],[Impact to Mission]:[Impact to Obligations]])*tblRiskRegister[[#This Row],[Expectancy Score]],"")</calculatedColumnFormula>
    </tableColumn>
    <tableColumn id="14" xr3:uid="{8333BB9C-4572-4920-AE29-8C9109FCA71F}" name="Risk Level" dataDxfId="204">
      <calculatedColumnFormula>tblRiskRegister[[#This Row],[Risk Score]]</calculatedColumnFormula>
    </tableColumn>
    <tableColumn id="25" xr3:uid="{2A58E972-A2A3-46AB-878E-4E31877D946F}" name="Risk Treatment Option" dataDxfId="203"/>
    <tableColumn id="5" xr3:uid="{4A3995EB-FB46-4BD5-A124-6A69E24EA5DA}" name="Risk Treatment Safeguard" dataDxfId="202"/>
    <tableColumn id="6" xr3:uid="{A80ADF3C-9455-43FF-91A5-FC31DA0616FD}" name="Risk Treatment_x000a_Safeguard Title" dataDxfId="201"/>
    <tableColumn id="24" xr3:uid="{99C8FE05-828A-40FD-85FD-2C87B770645C}" name="Risk Treatment_x000a_Safeguard Description" dataDxfId="200"/>
    <tableColumn id="21" xr3:uid="{2CE41BA5-C211-4CD8-B2D9-FD7113BF7546}" name="Our Planned Implementation" dataDxfId="199"/>
    <tableColumn id="7" xr3:uid="{7D97771F-643D-4A38-AA30-304424965877}" name="Risk Treatment Safeguard Maturity Score" dataDxfId="198"/>
    <tableColumn id="15" xr3:uid="{431C70C9-8BFA-471D-973B-56388610DB20}" name="Risk Treatment_x000a_Safeguard Expectancy Score" dataDxfId="197">
      <calculatedColumnFormula>IFERROR(VLOOKUP(10*tblRiskRegister[[#This Row],[Risk Treatment Safeguard Maturity Score]]+tblRiskRegister[[#This Row],[VCDB Index]],tblHITIndexWeightTable[],4,FALSE),"")</calculatedColumnFormula>
    </tableColumn>
    <tableColumn id="16" xr3:uid="{DA3F5455-3CA5-413A-921D-4F95CF3AE179}" name="Risk Treatment Safeguard Impact to Mission" dataDxfId="196">
      <calculatedColumnFormula>VLOOKUP(tblRiskRegister[[#This Row],[Asset Class]],tblImpactIndex[],2,FALSE)</calculatedColumnFormula>
    </tableColumn>
    <tableColumn id="17" xr3:uid="{72F67FF6-FF32-466E-8FC0-2E817BA8E1DA}" name="Risk Treatment Safeguard Impact to Operational Objectives" dataDxfId="195">
      <calculatedColumnFormula>VLOOKUP(tblRiskRegister[[#This Row],[Asset Class]],tblImpactIndex[],3,FALSE)</calculatedColumnFormula>
    </tableColumn>
    <tableColumn id="18" xr3:uid="{4F23337A-896A-4A6D-874A-4F283A3A82C4}" name="Risk Treatment Safeguard Impact to Obligations" dataDxfId="194">
      <calculatedColumnFormula>VLOOKUP(tblRiskRegister[[#This Row],[Asset Class]],tblImpactIndex[],4,FALSE)</calculatedColumnFormula>
    </tableColumn>
    <tableColumn id="28" xr3:uid="{BEA1B5A8-5F21-41A5-9E06-A45B985ABDD4}" name="Risk Treatment Safeguard Risk Score" dataDxfId="193">
      <calculatedColumnFormula>IFERROR(MAX(tblRiskRegister[[#This Row],[Risk Treatment Safeguard Impact to Mission]:[Risk Treatment Safeguard Impact to Obligations]])*tblRiskRegister[[#This Row],[Risk Treatment
Safeguard Expectancy Score]],"")</calculatedColumnFormula>
    </tableColumn>
    <tableColumn id="26" xr3:uid="{A467B8CC-DFA8-47A4-8263-71E3B5DC1411}" name="Reasonable and Acceptable" dataDxfId="192">
      <calculatedColumnFormula>IF(tblRiskRegister[[#This Row],[Risk Score]]&gt;5,IF(tblRiskRegister[[#This Row],[Risk Treatment Safeguard Risk Score]]&lt;6, IF(tblRiskRegister[[#This Row],[Risk Treatment Safeguard Risk Score]]&lt;=tblRiskRegister[[#This Row],[Risk Score]],"Yes","No"),"No"),"Yes")</calculatedColumnFormula>
    </tableColumn>
    <tableColumn id="19" xr3:uid="{D1A8E4B2-E16F-4C57-BACC-1E03E58E87DB}" name="Risk Treatment Safeguard Cost" dataDxfId="191" dataCellStyle="Currency"/>
    <tableColumn id="8" xr3:uid="{DBF9768F-8425-45A9-8571-8929A98A3A77}" name="Implementation Quarter" dataDxfId="190" dataCellStyle="Currency"/>
    <tableColumn id="23" xr3:uid="{355A6E03-6256-47E5-8490-8A680FEFDAC5}" name="Implementation Year" dataDxfId="189"/>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FC2AF6-45F5-4CC0-BB14-475E496753AA}" name="tblImpactDefinitions31814" displayName="tblImpactDefinitions31814" ref="F3:J7" totalsRowShown="0" headerRowDxfId="87" dataDxfId="86">
  <autoFilter ref="F3:J7" xr:uid="{4FF567A8-2E76-4BA4-915D-68C40ECE9DF1}"/>
  <tableColumns count="5">
    <tableColumn id="1" xr3:uid="{AC0AA407-75D5-43EF-9E0D-5FD117EDCB3D}" name="Impact Scores" dataDxfId="85"/>
    <tableColumn id="2" xr3:uid="{C6B5355F-80A4-4CD5-8AB1-465756A0B947}" name="Mission" dataDxfId="84"/>
    <tableColumn id="3" xr3:uid="{43DB057B-AB66-4464-A9F5-689EE1731D60}" name="Operational Objectives" dataDxfId="83"/>
    <tableColumn id="4" xr3:uid="{1AD9C249-99AA-4E38-B6A0-01C68FAACD49}" name="Financial Objectives" dataDxfId="82"/>
    <tableColumn id="5" xr3:uid="{0BB84325-6527-406B-88FD-62AD247371DC}" name="Obligations" dataDxfId="81"/>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E48999-10B6-4E11-B044-B277753047A0}" name="tblMaturityScores" displayName="tblMaturityScores" ref="B6:C11" totalsRowShown="0" headerRowDxfId="80" dataDxfId="79">
  <autoFilter ref="B6:C11" xr:uid="{7B87A968-A3AD-4C4F-82A7-F496D86A46DA}"/>
  <tableColumns count="2">
    <tableColumn id="1" xr3:uid="{DD79982C-A9BA-4C29-9339-25D7077BA225}" name="Maturity Scores" dataDxfId="78"/>
    <tableColumn id="2" xr3:uid="{B95BD2FA-F1A4-4A6B-8B12-4B5DE8ABB09E}" name="Definition" dataDxfId="7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E67D7F-408D-4247-9729-AF2715BBF482}" name="Table5" displayName="Table5" ref="B17:C20" totalsRowShown="0" headerRowDxfId="76" dataDxfId="75">
  <autoFilter ref="B17:C20" xr:uid="{9543C490-5DBE-41CA-B48C-0C5A61F445AA}"/>
  <tableColumns count="2">
    <tableColumn id="1" xr3:uid="{AB1F23FC-EFCD-4F47-981B-1A533DC44E01}" name="Expectancy Scores" dataDxfId="74"/>
    <tableColumn id="2" xr3:uid="{4239A226-FA5E-49A1-86BA-6C89EC06FDE3}" name="Expectancy Definition" dataDxfId="73"/>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5C1274-FDB1-4BEB-98FC-B08D4109F889}" name="Table6" displayName="Table6" ref="B26:C27" totalsRowShown="0" headerRowDxfId="72" dataDxfId="71">
  <autoFilter ref="B26:C27" xr:uid="{1F2A4CDB-E353-417D-87C3-37E36339B4E8}"/>
  <tableColumns count="2">
    <tableColumn id="1" xr3:uid="{3DC79FAB-AE52-4C8A-96B3-D0F1100C46B0}" name="Acceptable Risk Score" dataDxfId="70"/>
    <tableColumn id="2" xr3:uid="{2716CAD0-D544-4052-A3D6-A853AF68014F}" name="Risk Acceptance Criteria" dataDxfId="69"/>
  </tableColumns>
  <tableStyleInfo name="TableStyleMedium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7DE92C-2FC9-4A9B-8B56-9BBAC9A4D18C}" name="tblVCDBIndex" displayName="tblVCDBIndex" ref="B34:E41" totalsRowShown="0" headerRowDxfId="68" dataDxfId="67">
  <autoFilter ref="B34:E41" xr:uid="{3D5FFE15-1BB4-4EF0-B09F-4B164D6A82A7}"/>
  <tableColumns count="4">
    <tableColumn id="1" xr3:uid="{50E1FA10-603D-42D6-8A53-9DE10B2F836D}" name="Asset Class" dataDxfId="66"/>
    <tableColumn id="2" xr3:uid="{A5ADADF0-F404-4FB8-B93B-A9D20A6C8892}" name="Sum of Threat Count / Industry" dataDxfId="65"/>
    <tableColumn id="3" xr3:uid="{E69ACDA9-ACAA-4EEA-9C81-B28906831D41}" name="Percentage" dataDxfId="64" dataCellStyle="Percent">
      <calculatedColumnFormula>tblVCDBIndex[[#This Row],[Sum of Threat Count / Industry]]/$C$33</calculatedColumnFormula>
    </tableColumn>
    <tableColumn id="4" xr3:uid="{287EDDA7-0E69-4366-BA87-DCC60821B9A2}" name="Index" dataDxfId="63">
      <calculatedColumnFormula>IF(tblVCDBIndex[[#This Row],[Percentage]]&gt;=0.5,3,IF(tblVCDBIndex[[#This Row],[Percentage]]&gt;=0.1,2,1))</calculatedColumnFormula>
    </tableColumn>
  </tableColumns>
  <tableStyleInfo name="TableStyleMedium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887B67-BF2C-4E30-9E2B-2AF3B21AC2F9}" name="tblHITIndexWeightTable" displayName="tblHITIndexWeightTable" ref="B47:E72" totalsRowShown="0" headerRowDxfId="62" dataDxfId="61">
  <autoFilter ref="B47:E72" xr:uid="{045CA64F-00D5-4A25-A420-B3A85B51667D}"/>
  <sortState ref="C48:E56">
    <sortCondition descending="1" ref="C47:C56"/>
  </sortState>
  <tableColumns count="4">
    <tableColumn id="4" xr3:uid="{42C0E347-189B-4749-AA0C-F2B9D0D43957}" name="VCDB Index Lookup" dataDxfId="60"/>
    <tableColumn id="1" xr3:uid="{54D34524-94CD-466A-B10E-F45894C20F46}" name="Maturity" dataDxfId="59"/>
    <tableColumn id="2" xr3:uid="{6FFDD197-6A58-4063-AFA5-225A42374912}" name="VCDB Index" dataDxfId="58"/>
    <tableColumn id="3" xr3:uid="{2AC0ACC8-58E6-4D9E-9B01-B192A02430C5}" name="Expectancy" dataDxfId="57"/>
  </tableColumns>
  <tableStyleInfo name="TableStyleMedium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8921055-529F-47DA-ADEE-CA05412E1DA2}" name="tblMaturityScores1213" displayName="tblMaturityScores1213" ref="N3:O8" totalsRowShown="0" headerRowDxfId="56" dataDxfId="55" tableBorderDxfId="54">
  <autoFilter ref="N3:O8" xr:uid="{ECF99691-39B8-4848-9BB4-E26E83115FB5}"/>
  <tableColumns count="2">
    <tableColumn id="1" xr3:uid="{7465C038-0C59-4687-824A-BF06BFC28896}" name="Maturity Scores" dataDxfId="53"/>
    <tableColumn id="2" xr3:uid="{E75B713B-3569-4B41-B007-A199DBB391FF}" name="Definition" dataDxfId="52"/>
  </tableColumns>
  <tableStyleInfo name="TableStyleMedium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75266FD-B3AD-4C83-878C-5AACCAF1D035}" name="tblMaturityScores121323" displayName="tblMaturityScores121323" ref="AB2:AC7" totalsRowShown="0" headerRowDxfId="51" dataDxfId="50" tableBorderDxfId="49">
  <autoFilter ref="AB2:AC7" xr:uid="{93B096CB-86C1-4018-AE0F-75339CB7E9CD}"/>
  <tableColumns count="2">
    <tableColumn id="1" xr3:uid="{03B9ABC3-01C5-4647-8551-89F7A6B8FC00}" name="Maturity Scores" dataDxfId="48"/>
    <tableColumn id="2" xr3:uid="{C7C52DA5-B9BF-4EB2-9B1F-01FA001C7978}" name="Definition" dataDxfId="47"/>
  </tableColumns>
  <tableStyleInfo name="TableStyleMedium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BDCE72F-C758-4241-B313-4C976443F0B8}" name="tblRiskRegister19" displayName="tblRiskRegister19" ref="B33:AB76" totalsRowShown="0" headerRowDxfId="46" dataDxfId="45">
  <autoFilter ref="B33:AB76" xr:uid="{9DD1637E-6A24-4152-BF1D-6C69C54474D3}"/>
  <sortState ref="B34:M76">
    <sortCondition ref="B33:B76"/>
  </sortState>
  <tableColumns count="27">
    <tableColumn id="1" xr3:uid="{74C4E157-BD9B-4923-A269-686774EA83E1}" name="CIS Safeguard #" dataDxfId="44"/>
    <tableColumn id="2" xr3:uid="{D2609824-9C91-4304-B3D8-546C6007D266}" name="CIS Safeguard Title" dataDxfId="43"/>
    <tableColumn id="20" xr3:uid="{42A4A8FD-5237-44DF-A2FA-FE23F158775C}" name="NIST CSF Security Function" dataDxfId="42"/>
    <tableColumn id="4" xr3:uid="{607BB1B8-2A22-49B4-B38B-98A1892FC80D}" name="Asset Class" dataDxfId="41"/>
    <tableColumn id="3" xr3:uid="{8DD4F1FF-8064-40F8-AA17-4B3A959C556C}" name="Safeguard Maturity Score" dataDxfId="40"/>
    <tableColumn id="27" xr3:uid="{ECBEC446-396A-48F7-B6C0-B119FAFB9598}" name="VCDB Index" dataDxfId="39">
      <calculatedColumnFormula>IFERROR(VLOOKUP(tblRiskRegister19[[#This Row],[Asset Class]],tblVCDBIndex[],4,FALSE),"")</calculatedColumnFormula>
    </tableColumn>
    <tableColumn id="9" xr3:uid="{3E7C857A-8E42-4340-8F4A-73F85FAC9A82}" name="Expectancy Score" dataDxfId="38">
      <calculatedColumnFormula>IFERROR(VLOOKUP(10*tblRiskRegister19[[#This Row],[Safeguard Maturity Score]]+tblRiskRegister19[[#This Row],[VCDB Index]],tblHITIndexWeightTable[],4,FALSE),"")</calculatedColumnFormula>
    </tableColumn>
    <tableColumn id="10" xr3:uid="{E784DA19-6C44-4903-9731-5D064D9B6E63}" name="Impact to Mission" dataDxfId="37">
      <calculatedColumnFormula>VLOOKUP(tblRiskRegister19[[#This Row],[Asset Class]],tblImpactIndex21[],2,FALSE)</calculatedColumnFormula>
    </tableColumn>
    <tableColumn id="11" xr3:uid="{4CE45628-17CA-4E37-B432-1B7B8D5B8B70}" name="Impact to Operational Objectives" dataDxfId="36">
      <calculatedColumnFormula>VLOOKUP(tblRiskRegister19[[#This Row],[Asset Class]],tblImpactIndex21[],3,FALSE)</calculatedColumnFormula>
    </tableColumn>
    <tableColumn id="12" xr3:uid="{2C21FA0E-EB29-4ABB-A57C-DD1AE16FA735}" name="Impact to Obligations" dataDxfId="35">
      <calculatedColumnFormula>VLOOKUP(tblRiskRegister19[[#This Row],[Asset Class]],tblImpactIndex21[],4,FALSE)</calculatedColumnFormula>
    </tableColumn>
    <tableColumn id="13" xr3:uid="{937FCDC5-DA78-463D-8CA6-831279B505CD}" name="Risk Score" dataDxfId="34">
      <calculatedColumnFormula>IFERROR(MAX(tblRiskRegister19[[#This Row],[Impact to Mission]:[Impact to Obligations]])*tblRiskRegister19[[#This Row],[Expectancy Score]],"")</calculatedColumnFormula>
    </tableColumn>
    <tableColumn id="14" xr3:uid="{2359A05F-0A41-41A9-A5DE-0071B8F7B7B1}" name="Risk Level" dataDxfId="33">
      <calculatedColumnFormula>tblRiskRegister19[[#This Row],[Risk Score]]</calculatedColumnFormula>
    </tableColumn>
    <tableColumn id="25" xr3:uid="{DB65F03C-CC66-4EE5-BCB5-57F80449B00E}" name="Risk Treatment Option" dataDxfId="32"/>
    <tableColumn id="5" xr3:uid="{BD5CF8E5-8B3D-4BF2-8A92-15F49B2477F4}" name="Risk Treatment Safeguard" dataDxfId="31"/>
    <tableColumn id="6" xr3:uid="{4D8E12F6-6796-41A4-B07F-E5BFECE1BF63}" name="Risk Treatment_x000a_Safeguard Title" dataDxfId="30"/>
    <tableColumn id="24" xr3:uid="{3EF673DE-3687-4AF3-A136-2D84E71E1351}" name="Risk Treatment_x000a_Safeguard Description" dataDxfId="29"/>
    <tableColumn id="21" xr3:uid="{1122A1D6-1F7E-42DE-AD38-1585F332F103}" name="Our Planned Implementation" dataDxfId="28"/>
    <tableColumn id="7" xr3:uid="{F60BD290-52E4-4EFB-BA1B-EF56B181968A}" name="Risk Treatment Safeguard Maturity Score" dataDxfId="27"/>
    <tableColumn id="15" xr3:uid="{B174AA13-2F8E-4427-A782-F8377B8DB302}" name="Risk Treatment_x000a_Safeguard Expectancy Score" dataDxfId="26">
      <calculatedColumnFormula>IFERROR(VLOOKUP(10*tblRiskRegister19[[#This Row],[Risk Treatment Safeguard Maturity Score]]+tblRiskRegister19[[#This Row],[VCDB Index]],tblHITIndexWeightTable[],4,FALSE),"")</calculatedColumnFormula>
    </tableColumn>
    <tableColumn id="16" xr3:uid="{6246BF7F-235B-4E14-B20C-E8E153DE4C93}" name="Risk Treatment Safeguard Impact to Mission" dataDxfId="25">
      <calculatedColumnFormula>VLOOKUP(tblRiskRegister19[[#This Row],[Asset Class]],tblImpactIndex21[],2,FALSE)</calculatedColumnFormula>
    </tableColumn>
    <tableColumn id="17" xr3:uid="{6E9506C0-CA69-4CA9-B032-4E5D343E9B95}" name="Risk Treatment Safeguard Impact to Operational Objectives" dataDxfId="24">
      <calculatedColumnFormula>VLOOKUP(tblRiskRegister19[[#This Row],[Asset Class]],tblImpactIndex21[],3,FALSE)</calculatedColumnFormula>
    </tableColumn>
    <tableColumn id="18" xr3:uid="{61A4DF47-B245-475E-979B-2A2EEF92DC1B}" name="Risk Treatment Safeguard Impact to Obligations" dataDxfId="23">
      <calculatedColumnFormula>VLOOKUP(tblRiskRegister19[[#This Row],[Asset Class]],tblImpactIndex21[],4,FALSE)</calculatedColumnFormula>
    </tableColumn>
    <tableColumn id="28" xr3:uid="{A08FEA2C-B42E-4576-B14D-EEFBE729F43C}" name="Risk Treatment Safeguard Risk Score" dataDxfId="22">
      <calculatedColumnFormula>IFERROR(MAX(tblRiskRegister19[[#This Row],[Risk Treatment Safeguard Impact to Mission]:[Risk Treatment Safeguard Impact to Obligations]])*tblRiskRegister19[[#This Row],[Risk Treatment
Safeguard Expectancy Score]],"")</calculatedColumnFormula>
    </tableColumn>
    <tableColumn id="26" xr3:uid="{5C5EBC7E-D810-41C9-9CE6-D812B53084E6}" name="Reasonable and Acceptable" dataDxfId="21">
      <calculatedColumnFormula>IF(tblRiskRegister19[[#This Row],[Risk Score]]&gt;5,IF(tblRiskRegister19[[#This Row],[Risk Treatment Safeguard Risk Score]]&lt;6, IF(tblRiskRegister19[[#This Row],[Risk Treatment Safeguard Risk Score]]&lt;=tblRiskRegister19[[#This Row],[Risk Score]],"Yes","No"),"No"),"Yes")</calculatedColumnFormula>
    </tableColumn>
    <tableColumn id="19" xr3:uid="{C342AE9F-E110-452D-8BC0-895E3BFC0895}" name="Risk Treatment Safeguard Cost" dataDxfId="20" dataCellStyle="Currency"/>
    <tableColumn id="8" xr3:uid="{D8E87883-49AE-44EF-A597-AA7E1703530F}" name="Implementation Quarter" dataDxfId="19" dataCellStyle="Currency"/>
    <tableColumn id="23" xr3:uid="{ED4B13F6-5B4F-449F-950C-6EB2EB0096A9}" name="Implementation Year" dataDxfId="18"/>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F266234-637D-412F-B642-8C44D2ECCAD6}" name="tblCostImpacts20" displayName="tblCostImpacts20" ref="AD33:AF43" totalsRowShown="0" headerRowDxfId="17" dataDxfId="16">
  <autoFilter ref="AD33:AF43" xr:uid="{8DF8E5E0-4444-493D-923E-B023F5A18943}"/>
  <tableColumns count="3">
    <tableColumn id="1" xr3:uid="{AD76A7A5-4C52-41D8-8700-1ABA5B3F2C50}" name="Impact to Financial Objectives" dataDxfId="15" dataCellStyle="Currency">
      <calculatedColumnFormula>SUMIF(tblRiskRegister19[[#All],[Implementation Year]],"="&amp;tblCostImpacts20[[#This Row],[Year]],tblRiskRegister19[[#All],[Risk Treatment Safeguard Cost]])</calculatedColumnFormula>
    </tableColumn>
    <tableColumn id="2" xr3:uid="{3A0F8906-A1F2-42C1-B54A-5673D09EBFC3}" name="Year" dataDxfId="14"/>
    <tableColumn id="3" xr3:uid="{D13075C5-0431-4AD6-9A8F-3F6620F14966}" name="Reasonable?" dataDxfId="13">
      <calculatedColumnFormula>IF(tblCostImpacts20[[#This Row],[Impact to Financial Objectives]]&lt;=$E$12,"Yes","No")</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3F50E9-18C1-45C0-A9B7-1AA8CCB41E72}" name="tblCostImpacts" displayName="tblCostImpacts" ref="AD33:AF43" totalsRowShown="0" headerRowDxfId="188" dataDxfId="187">
  <autoFilter ref="AD33:AF43" xr:uid="{8DF8E5E0-4444-493D-923E-B023F5A18943}"/>
  <tableColumns count="3">
    <tableColumn id="1" xr3:uid="{A2907F84-0D10-4D9F-B699-0766BF496195}" name="Impact to Financial Objectives" dataDxfId="186" dataCellStyle="Currency">
      <calculatedColumnFormula>SUMIF(tblRiskRegister[[#All],[Implementation Year]],"="&amp;tblCostImpacts[[#This Row],[Year]],tblRiskRegister[[#All],[Risk Treatment Safeguard Cost]])</calculatedColumnFormula>
    </tableColumn>
    <tableColumn id="2" xr3:uid="{3297C69F-6EB7-4EAF-84B5-4CB9DA2A1C44}" name="Year" dataDxfId="185"/>
    <tableColumn id="3" xr3:uid="{D36FAF47-6B97-4180-8BC5-B18855A84F77}" name="Reasonable?" dataDxfId="184">
      <calculatedColumnFormula>IF(tblCostImpacts[[#This Row],[Impact to Financial Objectives]]&lt;=$E$12,"Yes","No")</calculatedColumnFormula>
    </tableColumn>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38887CA-B83D-4606-87B3-6C36C463F153}" name="tblImpactIndex21" displayName="tblImpactIndex21" ref="B20:E26" totalsRowShown="0" headerRowDxfId="12" dataDxfId="11">
  <autoFilter ref="B20:E26" xr:uid="{C77C6CEC-65BA-4FC6-A575-D28C134F13C6}">
    <filterColumn colId="0" hiddenButton="1"/>
    <filterColumn colId="1" hiddenButton="1"/>
    <filterColumn colId="2" hiddenButton="1"/>
    <filterColumn colId="3" hiddenButton="1"/>
  </autoFilter>
  <tableColumns count="4">
    <tableColumn id="1" xr3:uid="{4AAC3893-8F79-4E76-9116-95CAD7BCB3A2}" name="Asset Class" dataDxfId="10"/>
    <tableColumn id="2" xr3:uid="{53584705-989B-4D54-AF12-BD9221CA65EC}" name="Mission Impact" dataDxfId="9"/>
    <tableColumn id="3" xr3:uid="{43EBAA1B-36D7-4600-8588-F69BA0BF924A}" name="Operational Objectives Impact" dataDxfId="8"/>
    <tableColumn id="4" xr3:uid="{2F517F05-6921-498D-BA08-66E627ACD1F7}" name="Obligations Impact" dataDxfId="7"/>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EE73B5F-D54C-4693-AF8C-D309915EEA5C}" name="tblImpactDefinitions322" displayName="tblImpactDefinitions322" ref="B10:F14" totalsRowShown="0" headerRowDxfId="6" dataDxfId="5">
  <autoFilter ref="B10:F14" xr:uid="{7EF762F8-1DFB-40FB-9D41-F321205BEB02}">
    <filterColumn colId="0" hiddenButton="1"/>
    <filterColumn colId="1" hiddenButton="1"/>
    <filterColumn colId="2" hiddenButton="1"/>
    <filterColumn colId="3" hiddenButton="1"/>
    <filterColumn colId="4" hiddenButton="1"/>
  </autoFilter>
  <tableColumns count="5">
    <tableColumn id="1" xr3:uid="{40ABF404-208C-4715-B5CB-9E1C3C4058FF}" name="Impact Scores" dataDxfId="4"/>
    <tableColumn id="2" xr3:uid="{9A485D71-C7E7-4FEA-A17C-2D85F430F34A}" name="Mission" dataDxfId="3"/>
    <tableColumn id="3" xr3:uid="{9BA32F95-09E6-4B39-BCC0-427687C455AF}" name="Operational Objectives" dataDxfId="2"/>
    <tableColumn id="4" xr3:uid="{A2F4BB74-5FBC-409E-AE08-013C9533A31D}" name="Financial Objectives" dataDxfId="1"/>
    <tableColumn id="5" xr3:uid="{FAC7E81B-C81F-4604-897E-1550A1A08C41}" name="Obligations" dataDxfId="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0B001FF-6311-449C-B0A4-F54508CB0B2B}" name="tblImpactIndex" displayName="tblImpactIndex" ref="B20:E26" totalsRowShown="0" headerRowDxfId="183" dataDxfId="182">
  <autoFilter ref="B20:E26" xr:uid="{C77C6CEC-65BA-4FC6-A575-D28C134F13C6}">
    <filterColumn colId="0" hiddenButton="1"/>
    <filterColumn colId="1" hiddenButton="1"/>
    <filterColumn colId="2" hiddenButton="1"/>
    <filterColumn colId="3" hiddenButton="1"/>
  </autoFilter>
  <tableColumns count="4">
    <tableColumn id="1" xr3:uid="{DAA8D9ED-5480-4CC8-B9A9-CF7AF27DC75F}" name="Asset Class" dataDxfId="181"/>
    <tableColumn id="2" xr3:uid="{42FA3007-FFF4-4F52-8B9A-65433F9553C7}" name="Mission Impact" dataDxfId="180"/>
    <tableColumn id="3" xr3:uid="{13B966A7-4EF1-4F5C-8B09-8099F33926CC}" name="Operational Objectives Impact" dataDxfId="179"/>
    <tableColumn id="4" xr3:uid="{DCC8E549-5EE7-4F9C-9E96-5727A0D86AEF}" name="Obligations Impact" dataDxfId="17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953B34-5F82-476F-A9CD-8A3B0D5951DC}" name="tblImpactDefinitions3" displayName="tblImpactDefinitions3" ref="B10:F14" totalsRowShown="0" headerRowDxfId="177" dataDxfId="176">
  <autoFilter ref="B10:F14" xr:uid="{7EF762F8-1DFB-40FB-9D41-F321205BEB02}">
    <filterColumn colId="0" hiddenButton="1"/>
    <filterColumn colId="1" hiddenButton="1"/>
    <filterColumn colId="2" hiddenButton="1"/>
    <filterColumn colId="3" hiddenButton="1"/>
    <filterColumn colId="4" hiddenButton="1"/>
  </autoFilter>
  <tableColumns count="5">
    <tableColumn id="1" xr3:uid="{52EAF4CA-2B94-47D2-BCA0-1B4FB3AFF161}" name="Impact Scores" dataDxfId="175"/>
    <tableColumn id="2" xr3:uid="{09C350C0-CEF3-4BB2-BE4C-1468DCC278AE}" name="Mission" dataDxfId="174"/>
    <tableColumn id="3" xr3:uid="{E2850D79-AA37-46C6-9677-BE2435265F4D}" name="Operational Objectives" dataDxfId="173"/>
    <tableColumn id="4" xr3:uid="{28ED1B92-9B8C-4D49-A6B6-17F3B10419FF}" name="Financial Objectives" dataDxfId="172"/>
    <tableColumn id="5" xr3:uid="{6AD7BE8A-D970-4A96-88AA-4DE82C9AECC0}" name="Obligations" dataDxfId="171"/>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9971061-7220-4DAC-8B1D-8D6F28AAD72F}" name="tblRiskRegister15" displayName="tblRiskRegister15" ref="B33:AB89" totalsRowShown="0" headerRowDxfId="140" dataDxfId="139">
  <autoFilter ref="B33:AB89" xr:uid="{9DD1637E-6A24-4152-BF1D-6C69C54474D3}"/>
  <sortState ref="B34:M76">
    <sortCondition ref="B33:B76"/>
  </sortState>
  <tableColumns count="27">
    <tableColumn id="1" xr3:uid="{246BA068-BAF2-4355-A976-D6EB0D5BC613}" name="CIS Safeguard #" dataDxfId="138"/>
    <tableColumn id="2" xr3:uid="{E6230B82-51F8-44D6-8C7E-FD017256F1FE}" name="CIS Safeguard Title" dataDxfId="137"/>
    <tableColumn id="20" xr3:uid="{6579D6C7-4B83-4740-84E3-9B2944E75E1C}" name="NIST CSF Security Function" dataDxfId="136"/>
    <tableColumn id="4" xr3:uid="{4A71CC5E-AF8D-40D3-B275-407DD9BCEE3E}" name="Asset Class" dataDxfId="135"/>
    <tableColumn id="3" xr3:uid="{783881EF-B815-4882-9C81-C1BF39FE3043}" name="Safeguard Maturity Score" dataDxfId="134"/>
    <tableColumn id="27" xr3:uid="{73A30BFA-6302-4EC4-B194-1BEC3C351F8C}" name="VCDB Index" dataDxfId="133">
      <calculatedColumnFormula>IFERROR(VLOOKUP(tblRiskRegister15[[#This Row],[Asset Class]],tblVCDBIndex[],4,FALSE),"")</calculatedColumnFormula>
    </tableColumn>
    <tableColumn id="9" xr3:uid="{9EC765C2-3602-4A61-B606-D26BE034F476}" name="Expectancy Score" dataDxfId="132">
      <calculatedColumnFormula>IFERROR(VLOOKUP(10*tblRiskRegister15[[#This Row],[Safeguard Maturity Score]]+tblRiskRegister15[[#This Row],[VCDB Index]],tblHITIndexWeightTable[],4,FALSE),"")</calculatedColumnFormula>
    </tableColumn>
    <tableColumn id="10" xr3:uid="{1F75B6A3-4E2E-44DC-B9A3-A615F2C3E383}" name="Impact to Mission" dataDxfId="131">
      <calculatedColumnFormula>VLOOKUP(tblRiskRegister15[[#This Row],[Asset Class]],tblImpactIndex17[],2,FALSE)</calculatedColumnFormula>
    </tableColumn>
    <tableColumn id="11" xr3:uid="{6ED84288-803D-4F0A-A071-19D6D37827C9}" name="Impact to Operational Objectives" dataDxfId="130">
      <calculatedColumnFormula>VLOOKUP(tblRiskRegister15[[#This Row],[Asset Class]],tblImpactIndex17[],3,FALSE)</calculatedColumnFormula>
    </tableColumn>
    <tableColumn id="12" xr3:uid="{379BBFE4-6831-4439-A434-CBECE2A4B9C1}" name="Impact to Obligations" dataDxfId="129">
      <calculatedColumnFormula>VLOOKUP(tblRiskRegister15[[#This Row],[Asset Class]],tblImpactIndex17[],4,FALSE)</calculatedColumnFormula>
    </tableColumn>
    <tableColumn id="13" xr3:uid="{A44BC147-C6B5-48EB-885A-E8382D6CD9EA}" name="Risk Score" dataDxfId="128">
      <calculatedColumnFormula>IFERROR(MAX(tblRiskRegister15[[#This Row],[Impact to Mission]:[Impact to Obligations]])*tblRiskRegister15[[#This Row],[Expectancy Score]],"")</calculatedColumnFormula>
    </tableColumn>
    <tableColumn id="14" xr3:uid="{AAF8D8CE-2AAA-4B92-BFBF-8F21EA7DE7F8}" name="Risk Level" dataDxfId="127">
      <calculatedColumnFormula>tblRiskRegister15[[#This Row],[Risk Score]]</calculatedColumnFormula>
    </tableColumn>
    <tableColumn id="25" xr3:uid="{A485CCFC-D4AE-43D5-9D96-2332B61E4867}" name="Risk Treatment Option" dataDxfId="126"/>
    <tableColumn id="5" xr3:uid="{9690D8CE-8545-4AE6-A342-95AD8EAEB056}" name="Risk Treatment Safeguard" dataDxfId="125"/>
    <tableColumn id="6" xr3:uid="{EDB72571-6E7E-462D-BD06-3FD4EE0374E5}" name="Risk Treatment_x000a_Safeguard Title" dataDxfId="124"/>
    <tableColumn id="24" xr3:uid="{613E8F85-3071-4ED0-AC15-05AEC007EFD8}" name="Risk Treatment_x000a_Safeguard Description" dataDxfId="123"/>
    <tableColumn id="21" xr3:uid="{6EB716D1-3284-4911-A6BA-37CEE048F3D4}" name="Our Planned Implementation" dataDxfId="122"/>
    <tableColumn id="7" xr3:uid="{AC0738F7-0BCF-4727-8814-E10CDEB7C95D}" name="Risk Treatment Safeguard Maturity Score" dataDxfId="121"/>
    <tableColumn id="15" xr3:uid="{02B5B1B6-EC70-47A4-A56A-A187AD97974C}" name="Risk Treatment_x000a_Safeguard Expectancy Score" dataDxfId="120">
      <calculatedColumnFormula>IFERROR(VLOOKUP(10*tblRiskRegister15[[#This Row],[Risk Treatment Safeguard Maturity Score]]+tblRiskRegister15[[#This Row],[VCDB Index]],tblHITIndexWeightTable[],4,FALSE),"")</calculatedColumnFormula>
    </tableColumn>
    <tableColumn id="16" xr3:uid="{5E8A539D-F8D5-46BC-BE5C-E4FC4289D137}" name="Risk Treatment Safeguard Impact to Mission" dataDxfId="119">
      <calculatedColumnFormula>VLOOKUP(tblRiskRegister15[[#This Row],[Asset Class]],tblImpactIndex17[],2,FALSE)</calculatedColumnFormula>
    </tableColumn>
    <tableColumn id="17" xr3:uid="{116A6520-B949-4A4F-9F26-090340226C51}" name="Risk Treatment Safeguard Impact to Operational Objectives" dataDxfId="118">
      <calculatedColumnFormula>VLOOKUP(tblRiskRegister15[[#This Row],[Asset Class]],tblImpactIndex17[],3,FALSE)</calculatedColumnFormula>
    </tableColumn>
    <tableColumn id="18" xr3:uid="{CB3CD96F-19BB-46E5-939E-FBDC16B1D9DD}" name="Risk Treatment Safeguard Impact to Obligations" dataDxfId="117">
      <calculatedColumnFormula>VLOOKUP(tblRiskRegister15[[#This Row],[Asset Class]],tblImpactIndex17[],4,FALSE)</calculatedColumnFormula>
    </tableColumn>
    <tableColumn id="28" xr3:uid="{EB68F924-4B2C-4158-B767-FCD6EE3A6A61}" name="Risk Treatment Safeguard Risk Score" dataDxfId="116">
      <calculatedColumnFormula>IFERROR(MAX(tblRiskRegister15[[#This Row],[Risk Treatment Safeguard Impact to Mission]:[Risk Treatment Safeguard Impact to Obligations]])*tblRiskRegister15[[#This Row],[Risk Treatment
Safeguard Expectancy Score]],"")</calculatedColumnFormula>
    </tableColumn>
    <tableColumn id="26" xr3:uid="{8A804315-B707-4293-AC5F-E9B4C1AD316E}" name="Reasonable and Acceptable" dataDxfId="115">
      <calculatedColumnFormula>IF(tblRiskRegister15[[#This Row],[Risk Score]]&gt;5,IF(tblRiskRegister15[[#This Row],[Risk Treatment Safeguard Risk Score]]&lt;6, IF(tblRiskRegister15[[#This Row],[Risk Treatment Safeguard Risk Score]]&lt;=tblRiskRegister15[[#This Row],[Risk Score]],"Yes","No"),"No"),"Yes")</calculatedColumnFormula>
    </tableColumn>
    <tableColumn id="19" xr3:uid="{71E866AE-76CD-4F8D-AD46-13A4F0E2C449}" name="Risk Treatment Safeguard Cost" dataDxfId="114" dataCellStyle="Currency"/>
    <tableColumn id="8" xr3:uid="{4C916945-1F66-41F5-90B9-A331D10F53DD}" name="Implementation Quarter" dataDxfId="113" dataCellStyle="Currency"/>
    <tableColumn id="23" xr3:uid="{76FE8402-B5DC-44BF-93CC-F1E300AEC0D7}" name="Implementation Year" dataDxfId="11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9F8BA70-BCD7-43EF-A8DB-7E69C5C63CF4}" name="tblCostImpacts16" displayName="tblCostImpacts16" ref="AD33:AF43" totalsRowShown="0" headerRowDxfId="111" dataDxfId="110">
  <autoFilter ref="AD33:AF43" xr:uid="{8DF8E5E0-4444-493D-923E-B023F5A18943}"/>
  <tableColumns count="3">
    <tableColumn id="1" xr3:uid="{61DA70D4-35B9-4823-A15E-96CFE7E6EB86}" name="Impact to Financial Objectives" dataDxfId="109" dataCellStyle="Currency">
      <calculatedColumnFormula>SUMIF(tblRiskRegister15[[#All],[Implementation Year]],"="&amp;tblCostImpacts16[[#This Row],[Year]],tblRiskRegister15[[#All],[Risk Treatment Safeguard Cost]])</calculatedColumnFormula>
    </tableColumn>
    <tableColumn id="2" xr3:uid="{6E7AE7EE-61DB-4687-B418-A7D1C6404382}" name="Year" dataDxfId="108"/>
    <tableColumn id="3" xr3:uid="{394CB125-DB09-4668-AF9C-385E2892EF71}" name="Reasonable?" dataDxfId="107">
      <calculatedColumnFormula>IF(tblCostImpacts16[[#This Row],[Impact to Financial Objectives]]&lt;=$E$12,"Yes","No")</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CFBC5D5-48E7-4FF1-A595-22C272F9FEFB}" name="tblImpactIndex17" displayName="tblImpactIndex17" ref="B20:E26" totalsRowShown="0" headerRowDxfId="106" dataDxfId="105">
  <autoFilter ref="B20:E26" xr:uid="{C77C6CEC-65BA-4FC6-A575-D28C134F13C6}">
    <filterColumn colId="0" hiddenButton="1"/>
    <filterColumn colId="1" hiddenButton="1"/>
    <filterColumn colId="2" hiddenButton="1"/>
    <filterColumn colId="3" hiddenButton="1"/>
  </autoFilter>
  <tableColumns count="4">
    <tableColumn id="1" xr3:uid="{2E0C10C5-F9C2-4898-84BA-811509A07501}" name="Asset Class" dataDxfId="104"/>
    <tableColumn id="2" xr3:uid="{B9D5924A-63C9-4166-8FFD-E745CB34569F}" name="Mission Impact" dataDxfId="103"/>
    <tableColumn id="3" xr3:uid="{67E2C6DB-DFC5-4B91-857E-0693256322AE}" name="Operational Objectives Impact" dataDxfId="102"/>
    <tableColumn id="4" xr3:uid="{E35E6118-B140-4FD2-87BD-36BF91CC6277}" name="Obligations Impact"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B0B95DF-3EA0-4085-8A30-4AE1117224B8}" name="tblImpactDefinitions318" displayName="tblImpactDefinitions318" ref="B10:F14" totalsRowShown="0" headerRowDxfId="100" dataDxfId="99">
  <autoFilter ref="B10:F14" xr:uid="{7EF762F8-1DFB-40FB-9D41-F321205BEB02}">
    <filterColumn colId="0" hiddenButton="1"/>
    <filterColumn colId="1" hiddenButton="1"/>
    <filterColumn colId="2" hiddenButton="1"/>
    <filterColumn colId="3" hiddenButton="1"/>
    <filterColumn colId="4" hiddenButton="1"/>
  </autoFilter>
  <tableColumns count="5">
    <tableColumn id="1" xr3:uid="{06E5978B-B1B3-4144-B8F7-BA3FCDDEEC5F}" name="Impact Scores" dataDxfId="98"/>
    <tableColumn id="2" xr3:uid="{E7E04036-E615-4228-BBF3-A5DC22612528}" name="Mission" dataDxfId="97"/>
    <tableColumn id="3" xr3:uid="{816316AD-8D96-4D4D-A6F7-22510CEE134D}" name="Operational Objectives" dataDxfId="96"/>
    <tableColumn id="4" xr3:uid="{23B5AAF0-B197-4003-AB33-DB6E975C65BD}" name="Financial Objectives" dataDxfId="95"/>
    <tableColumn id="5" xr3:uid="{42662EEB-0C8B-4A7D-B8F7-7A1CFED9942D}" name="Obligations" dataDxfId="94"/>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96C3C99-52B2-46D2-BD07-2C6F50D377F6}" name="tblImpactIndex11" displayName="tblImpactIndex11" ref="F10:I16" totalsRowShown="0" headerRowDxfId="93" dataDxfId="92">
  <autoFilter ref="F10:I16" xr:uid="{869140E4-D417-47A2-A5F7-2BF7E896B6B1}"/>
  <tableColumns count="4">
    <tableColumn id="1" xr3:uid="{8AFC6B6B-41AD-44A2-9582-10233B667EC3}" name="Asset Class" dataDxfId="91"/>
    <tableColumn id="2" xr3:uid="{EA25300E-13A7-4048-A2CC-9796E006B156}" name="Mission Impact" dataDxfId="90"/>
    <tableColumn id="3" xr3:uid="{32A9301E-DB4E-46A3-B80C-64103CED166D}" name="Operational Objectives Impact" dataDxfId="89"/>
    <tableColumn id="4" xr3:uid="{3FCCA843-7050-414C-AD5B-DC03669263C3}" name="Obligations Impact" dataDxfId="8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hyperlink" Target="https://csat.cisecurity.org/" TargetMode="External"/><Relationship Id="rId2" Type="http://schemas.openxmlformats.org/officeDocument/2006/relationships/hyperlink" Target="https://workbench.cisecurity.org/dashboard" TargetMode="External"/><Relationship Id="rId1" Type="http://schemas.openxmlformats.org/officeDocument/2006/relationships/hyperlink" Target="https://www.cisecurity.org/controls/v8" TargetMode="External"/><Relationship Id="rId6" Type="http://schemas.openxmlformats.org/officeDocument/2006/relationships/drawing" Target="../drawings/drawing2.xml"/><Relationship Id="rId5" Type="http://schemas.openxmlformats.org/officeDocument/2006/relationships/hyperlink" Target="https://www.cisecurity.org/controls/v8/" TargetMode="External"/><Relationship Id="rId4" Type="http://schemas.openxmlformats.org/officeDocument/2006/relationships/hyperlink" Target="https://www.cisecurity.org/controls/cis-controls-self-assessment-tool-cis-csat/"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4.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9E4C-A91F-4172-9FFD-A8283CD782F7}">
  <sheetPr codeName="Sheet1">
    <tabColor rgb="FF003B5C"/>
  </sheetPr>
  <dimension ref="A1"/>
  <sheetViews>
    <sheetView showGridLines="0" tabSelected="1" workbookViewId="0">
      <selection activeCell="W26" sqref="W26"/>
    </sheetView>
  </sheetViews>
  <sheetFormatPr defaultColWidth="11.42578125" defaultRowHeight="15" x14ac:dyDescent="0.25"/>
  <sheetData/>
  <sheetProtection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CD4B-C13E-4CBC-8AEF-7B34C42784DA}">
  <sheetPr codeName="Sheet9">
    <tabColor rgb="FFFF0000"/>
  </sheetPr>
  <dimension ref="B2:AF76"/>
  <sheetViews>
    <sheetView showGridLines="0" zoomScaleNormal="100" workbookViewId="0">
      <selection activeCell="B2" sqref="B2:B4"/>
    </sheetView>
  </sheetViews>
  <sheetFormatPr defaultColWidth="9.140625" defaultRowHeight="12.75" x14ac:dyDescent="0.2"/>
  <cols>
    <col min="1" max="1" width="9.140625" style="2"/>
    <col min="2" max="2" width="20.7109375" style="2" bestFit="1" customWidth="1"/>
    <col min="3" max="3" width="21.5703125" style="17" customWidth="1"/>
    <col min="4" max="6" width="21.5703125" style="2" customWidth="1"/>
    <col min="7" max="12" width="12" style="2" customWidth="1"/>
    <col min="13" max="13" width="12.140625" style="2" customWidth="1"/>
    <col min="14" max="14" width="20.5703125" style="2" customWidth="1"/>
    <col min="15" max="15" width="26.42578125" style="2" customWidth="1"/>
    <col min="16" max="16" width="34.85546875" style="2" customWidth="1"/>
    <col min="17" max="17" width="52.42578125" style="2" customWidth="1"/>
    <col min="18" max="18" width="22.42578125" style="2" customWidth="1"/>
    <col min="19" max="19" width="18.140625" style="2" customWidth="1"/>
    <col min="20" max="20" width="20.42578125" style="2" customWidth="1"/>
    <col min="21" max="26" width="15.5703125" style="2" customWidth="1"/>
    <col min="27" max="27" width="11.5703125" style="2" customWidth="1"/>
    <col min="28" max="28" width="12.85546875" style="2" customWidth="1"/>
    <col min="29" max="29" width="20.140625" style="2" customWidth="1"/>
    <col min="30" max="30" width="14" style="2" bestFit="1" customWidth="1"/>
    <col min="31" max="31" width="14.140625" style="2" bestFit="1" customWidth="1"/>
    <col min="32" max="32" width="14.140625" style="2" customWidth="1"/>
    <col min="33" max="16384" width="9.140625" style="2"/>
  </cols>
  <sheetData>
    <row r="2" spans="2:31" x14ac:dyDescent="0.2">
      <c r="B2" s="266" t="s">
        <v>426</v>
      </c>
      <c r="C2" s="148" t="s">
        <v>152</v>
      </c>
      <c r="D2" s="313" t="s">
        <v>282</v>
      </c>
      <c r="E2" s="31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row>
    <row r="3" spans="2:31" x14ac:dyDescent="0.2">
      <c r="B3" s="267"/>
      <c r="C3" s="148" t="s">
        <v>53</v>
      </c>
      <c r="D3" s="313" t="s">
        <v>281</v>
      </c>
      <c r="E3" s="31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row>
    <row r="4" spans="2:31" x14ac:dyDescent="0.2">
      <c r="B4" s="268"/>
      <c r="C4" s="148" t="s">
        <v>54</v>
      </c>
      <c r="D4" s="314">
        <v>44428</v>
      </c>
      <c r="E4" s="313"/>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row>
    <row r="5" spans="2:31" x14ac:dyDescent="0.2">
      <c r="B5" s="149"/>
      <c r="C5" s="150"/>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row>
    <row r="6" spans="2:31" x14ac:dyDescent="0.2">
      <c r="B6" s="151"/>
      <c r="C6" s="152"/>
      <c r="D6" s="152"/>
      <c r="E6" s="152"/>
      <c r="F6" s="152"/>
      <c r="G6" s="152"/>
      <c r="H6" s="152"/>
      <c r="I6" s="152"/>
      <c r="J6" s="152"/>
      <c r="K6" s="152"/>
      <c r="L6" s="152"/>
      <c r="M6" s="152"/>
      <c r="N6" s="152"/>
      <c r="O6" s="149"/>
      <c r="P6" s="149"/>
      <c r="Q6" s="149"/>
      <c r="R6" s="149"/>
      <c r="S6" s="149"/>
      <c r="T6" s="149"/>
      <c r="U6" s="149"/>
      <c r="V6" s="149"/>
      <c r="W6" s="149"/>
      <c r="X6" s="149"/>
      <c r="Y6" s="149"/>
      <c r="Z6" s="149"/>
      <c r="AA6" s="149"/>
      <c r="AB6" s="149"/>
      <c r="AC6" s="149"/>
      <c r="AD6" s="149"/>
      <c r="AE6" s="149"/>
    </row>
    <row r="7" spans="2:31" x14ac:dyDescent="0.2">
      <c r="B7" s="149"/>
      <c r="C7" s="150"/>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row>
    <row r="8" spans="2:31" x14ac:dyDescent="0.2">
      <c r="B8" s="153" t="s">
        <v>48</v>
      </c>
      <c r="C8" s="315"/>
      <c r="D8" s="315"/>
      <c r="E8" s="315"/>
      <c r="F8" s="315"/>
      <c r="G8" s="149"/>
      <c r="H8" s="303" t="s">
        <v>296</v>
      </c>
      <c r="I8" s="303"/>
      <c r="J8" s="303"/>
      <c r="K8" s="303"/>
      <c r="L8" s="303"/>
      <c r="M8" s="303"/>
      <c r="N8" s="303"/>
      <c r="O8" s="206"/>
      <c r="P8" s="149"/>
      <c r="Q8" s="149"/>
      <c r="R8" s="149"/>
      <c r="S8" s="149"/>
      <c r="T8" s="149"/>
      <c r="U8" s="149"/>
      <c r="V8" s="149"/>
      <c r="W8" s="149"/>
      <c r="X8" s="149"/>
      <c r="Y8" s="149"/>
      <c r="Z8" s="149"/>
      <c r="AA8" s="149"/>
      <c r="AB8" s="149"/>
      <c r="AC8" s="149"/>
      <c r="AD8" s="149"/>
      <c r="AE8" s="149"/>
    </row>
    <row r="9" spans="2:31" x14ac:dyDescent="0.2">
      <c r="B9" s="149"/>
      <c r="C9" s="149"/>
      <c r="D9" s="149"/>
      <c r="E9" s="149"/>
      <c r="F9" s="149"/>
      <c r="G9" s="149"/>
      <c r="H9" s="303"/>
      <c r="I9" s="303"/>
      <c r="J9" s="303"/>
      <c r="K9" s="303"/>
      <c r="L9" s="303"/>
      <c r="M9" s="303"/>
      <c r="N9" s="303"/>
      <c r="O9" s="206"/>
      <c r="P9" s="149"/>
      <c r="Q9" s="149"/>
      <c r="R9" s="149"/>
      <c r="S9" s="149"/>
      <c r="T9" s="149"/>
      <c r="U9" s="149"/>
      <c r="V9" s="149"/>
      <c r="W9" s="149"/>
      <c r="X9" s="149"/>
      <c r="Y9" s="149"/>
      <c r="Z9" s="149"/>
      <c r="AA9" s="149"/>
      <c r="AB9" s="149"/>
      <c r="AC9" s="149"/>
      <c r="AD9" s="149"/>
      <c r="AE9" s="149"/>
    </row>
    <row r="10" spans="2:31" ht="25.5" x14ac:dyDescent="0.2">
      <c r="B10" s="154" t="s">
        <v>5</v>
      </c>
      <c r="C10" s="43" t="s">
        <v>6</v>
      </c>
      <c r="D10" s="43" t="s">
        <v>153</v>
      </c>
      <c r="E10" s="146" t="s">
        <v>154</v>
      </c>
      <c r="F10" s="43" t="s">
        <v>52</v>
      </c>
      <c r="G10" s="149"/>
      <c r="H10" s="303"/>
      <c r="I10" s="303"/>
      <c r="J10" s="303"/>
      <c r="K10" s="303"/>
      <c r="L10" s="303"/>
      <c r="M10" s="303"/>
      <c r="N10" s="303"/>
      <c r="O10" s="206"/>
      <c r="P10" s="149"/>
      <c r="Q10" s="149"/>
      <c r="R10" s="149"/>
      <c r="S10" s="149"/>
      <c r="T10" s="149"/>
      <c r="U10" s="149"/>
      <c r="V10" s="149"/>
      <c r="W10" s="149"/>
      <c r="X10" s="149"/>
      <c r="Y10" s="149"/>
      <c r="Z10" s="149"/>
      <c r="AA10" s="149"/>
      <c r="AB10" s="149"/>
      <c r="AC10" s="149"/>
      <c r="AD10" s="149"/>
      <c r="AE10" s="149"/>
    </row>
    <row r="11" spans="2:31" ht="127.5" x14ac:dyDescent="0.2">
      <c r="B11" s="155" t="s">
        <v>4</v>
      </c>
      <c r="C11" s="156" t="s">
        <v>283</v>
      </c>
      <c r="D11" s="156" t="s">
        <v>284</v>
      </c>
      <c r="E11" s="157" t="s">
        <v>67</v>
      </c>
      <c r="F11" s="158" t="s">
        <v>285</v>
      </c>
      <c r="G11" s="149"/>
      <c r="H11" s="303"/>
      <c r="I11" s="303"/>
      <c r="J11" s="303"/>
      <c r="K11" s="303"/>
      <c r="L11" s="303"/>
      <c r="M11" s="303"/>
      <c r="N11" s="303"/>
      <c r="O11" s="206"/>
      <c r="P11" s="149"/>
      <c r="Q11" s="149"/>
      <c r="R11" s="149"/>
      <c r="S11" s="149"/>
      <c r="T11" s="149"/>
      <c r="U11" s="149"/>
      <c r="V11" s="149"/>
      <c r="W11" s="149"/>
      <c r="X11" s="149"/>
      <c r="Y11" s="149"/>
      <c r="Z11" s="149"/>
      <c r="AA11" s="149"/>
      <c r="AB11" s="149"/>
      <c r="AC11" s="149"/>
      <c r="AD11" s="149"/>
      <c r="AE11" s="149"/>
    </row>
    <row r="12" spans="2:31" ht="25.5" x14ac:dyDescent="0.2">
      <c r="B12" s="159" t="s">
        <v>61</v>
      </c>
      <c r="C12" s="156" t="s">
        <v>56</v>
      </c>
      <c r="D12" s="156" t="s">
        <v>58</v>
      </c>
      <c r="E12" s="160">
        <v>20000</v>
      </c>
      <c r="F12" s="156" t="s">
        <v>64</v>
      </c>
      <c r="G12" s="149"/>
      <c r="H12" s="207"/>
      <c r="I12" s="207"/>
      <c r="J12" s="207"/>
      <c r="K12" s="207"/>
      <c r="L12" s="207"/>
      <c r="M12" s="207"/>
      <c r="N12" s="207"/>
      <c r="O12" s="206"/>
      <c r="P12" s="149"/>
      <c r="Q12" s="149"/>
      <c r="R12" s="149"/>
      <c r="S12" s="149"/>
      <c r="T12" s="149"/>
      <c r="U12" s="149"/>
      <c r="V12" s="149"/>
      <c r="W12" s="149"/>
      <c r="X12" s="149"/>
      <c r="Y12" s="149"/>
      <c r="Z12" s="149"/>
      <c r="AA12" s="149"/>
      <c r="AB12" s="149"/>
      <c r="AC12" s="149"/>
      <c r="AD12" s="149"/>
      <c r="AE12" s="149"/>
    </row>
    <row r="13" spans="2:31" ht="51" x14ac:dyDescent="0.2">
      <c r="B13" s="159" t="s">
        <v>62</v>
      </c>
      <c r="C13" s="156" t="s">
        <v>57</v>
      </c>
      <c r="D13" s="156" t="s">
        <v>59</v>
      </c>
      <c r="E13" s="160">
        <v>1000000</v>
      </c>
      <c r="F13" s="156" t="s">
        <v>65</v>
      </c>
      <c r="G13" s="149"/>
      <c r="H13" s="206"/>
      <c r="I13" s="206"/>
      <c r="J13" s="206"/>
      <c r="K13" s="206"/>
      <c r="L13" s="206"/>
      <c r="M13" s="206"/>
      <c r="N13" s="206"/>
      <c r="O13" s="206"/>
      <c r="P13" s="149"/>
      <c r="Q13" s="149"/>
      <c r="R13" s="149"/>
      <c r="S13" s="149"/>
      <c r="T13" s="149"/>
      <c r="U13" s="149"/>
      <c r="V13" s="149"/>
      <c r="W13" s="149"/>
      <c r="X13" s="149"/>
      <c r="Y13" s="149"/>
      <c r="Z13" s="149"/>
      <c r="AA13" s="149"/>
      <c r="AB13" s="149"/>
      <c r="AC13" s="149"/>
      <c r="AD13" s="149"/>
      <c r="AE13" s="149"/>
    </row>
    <row r="14" spans="2:31" ht="38.25" x14ac:dyDescent="0.2">
      <c r="B14" s="159" t="s">
        <v>63</v>
      </c>
      <c r="C14" s="156" t="s">
        <v>55</v>
      </c>
      <c r="D14" s="156" t="s">
        <v>60</v>
      </c>
      <c r="E14" s="161"/>
      <c r="F14" s="156" t="s">
        <v>66</v>
      </c>
      <c r="G14" s="149"/>
      <c r="H14" s="206"/>
      <c r="I14" s="206"/>
      <c r="J14" s="206"/>
      <c r="K14" s="206"/>
      <c r="L14" s="206"/>
      <c r="M14" s="206"/>
      <c r="N14" s="206"/>
      <c r="O14" s="206"/>
      <c r="P14" s="149"/>
      <c r="Q14" s="149"/>
      <c r="R14" s="149"/>
      <c r="S14" s="149"/>
      <c r="T14" s="149"/>
      <c r="U14" s="149"/>
      <c r="V14" s="149"/>
      <c r="W14" s="149"/>
      <c r="X14" s="149"/>
      <c r="Y14" s="149"/>
      <c r="Z14" s="149"/>
      <c r="AA14" s="149"/>
      <c r="AB14" s="149"/>
      <c r="AC14" s="149"/>
      <c r="AD14" s="149"/>
      <c r="AE14" s="149"/>
    </row>
    <row r="15" spans="2:31" x14ac:dyDescent="0.2">
      <c r="B15" s="149"/>
      <c r="C15" s="150"/>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row>
    <row r="16" spans="2:31" x14ac:dyDescent="0.2">
      <c r="B16" s="151"/>
      <c r="C16" s="152"/>
      <c r="D16" s="152"/>
      <c r="E16" s="152"/>
      <c r="F16" s="152"/>
      <c r="G16" s="152"/>
      <c r="H16" s="152"/>
      <c r="I16" s="152"/>
      <c r="J16" s="152"/>
      <c r="K16" s="152"/>
      <c r="L16" s="152"/>
      <c r="M16" s="152"/>
      <c r="N16" s="152"/>
      <c r="O16" s="149"/>
      <c r="P16" s="149"/>
      <c r="Q16" s="149"/>
      <c r="R16" s="149"/>
      <c r="S16" s="149"/>
      <c r="T16" s="149"/>
      <c r="U16" s="149"/>
      <c r="V16" s="149"/>
      <c r="W16" s="149"/>
      <c r="X16" s="149"/>
      <c r="Y16" s="149"/>
      <c r="Z16" s="149"/>
      <c r="AA16" s="149"/>
      <c r="AB16" s="149"/>
      <c r="AC16" s="149"/>
      <c r="AD16" s="149"/>
      <c r="AE16" s="149"/>
    </row>
    <row r="17" spans="2:32" x14ac:dyDescent="0.2">
      <c r="B17" s="149"/>
      <c r="C17" s="150"/>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row>
    <row r="18" spans="2:32" x14ac:dyDescent="0.2">
      <c r="B18" s="153" t="s">
        <v>69</v>
      </c>
      <c r="C18" s="305" t="s">
        <v>170</v>
      </c>
      <c r="D18" s="306"/>
      <c r="E18" s="307"/>
      <c r="F18" s="149"/>
      <c r="G18" s="149"/>
      <c r="H18" s="308"/>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row>
    <row r="19" spans="2:32" x14ac:dyDescent="0.2">
      <c r="B19" s="162"/>
      <c r="C19" s="163"/>
      <c r="D19" s="163"/>
      <c r="E19" s="163"/>
      <c r="F19" s="149"/>
      <c r="G19" s="149"/>
      <c r="H19" s="308"/>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row>
    <row r="20" spans="2:32" ht="25.5" x14ac:dyDescent="0.2">
      <c r="B20" s="154" t="s">
        <v>51</v>
      </c>
      <c r="C20" s="43" t="s">
        <v>46</v>
      </c>
      <c r="D20" s="43" t="s">
        <v>155</v>
      </c>
      <c r="E20" s="43" t="s">
        <v>47</v>
      </c>
      <c r="F20" s="309"/>
      <c r="G20" s="309"/>
      <c r="H20" s="308"/>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row>
    <row r="21" spans="2:32" x14ac:dyDescent="0.2">
      <c r="B21" s="159" t="s">
        <v>151</v>
      </c>
      <c r="C21" s="52">
        <v>2</v>
      </c>
      <c r="D21" s="52">
        <v>2</v>
      </c>
      <c r="E21" s="52">
        <v>3</v>
      </c>
      <c r="F21" s="309"/>
      <c r="G21" s="309"/>
      <c r="H21" s="308"/>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row>
    <row r="22" spans="2:32" x14ac:dyDescent="0.2">
      <c r="B22" s="164" t="s">
        <v>147</v>
      </c>
      <c r="C22" s="165">
        <v>2</v>
      </c>
      <c r="D22" s="165">
        <v>2</v>
      </c>
      <c r="E22" s="165">
        <v>2</v>
      </c>
      <c r="F22" s="309"/>
      <c r="G22" s="309"/>
      <c r="H22" s="308"/>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row>
    <row r="23" spans="2:32" x14ac:dyDescent="0.2">
      <c r="B23" s="164" t="s">
        <v>148</v>
      </c>
      <c r="C23" s="165">
        <v>2</v>
      </c>
      <c r="D23" s="165">
        <v>2</v>
      </c>
      <c r="E23" s="165">
        <v>3</v>
      </c>
      <c r="F23" s="309"/>
      <c r="G23" s="309"/>
      <c r="H23" s="308"/>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row>
    <row r="24" spans="2:32" x14ac:dyDescent="0.2">
      <c r="B24" s="164" t="s">
        <v>146</v>
      </c>
      <c r="C24" s="165">
        <v>2</v>
      </c>
      <c r="D24" s="165">
        <v>2</v>
      </c>
      <c r="E24" s="165">
        <v>3</v>
      </c>
      <c r="F24" s="309"/>
      <c r="G24" s="309"/>
      <c r="H24" s="308"/>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row>
    <row r="25" spans="2:32" x14ac:dyDescent="0.2">
      <c r="B25" s="164" t="s">
        <v>149</v>
      </c>
      <c r="C25" s="165">
        <v>1</v>
      </c>
      <c r="D25" s="165">
        <v>2</v>
      </c>
      <c r="E25" s="165">
        <v>2</v>
      </c>
      <c r="F25" s="309"/>
      <c r="G25" s="309"/>
      <c r="H25" s="30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row>
    <row r="26" spans="2:32" x14ac:dyDescent="0.2">
      <c r="B26" s="164" t="s">
        <v>150</v>
      </c>
      <c r="C26" s="165">
        <v>2</v>
      </c>
      <c r="D26" s="165">
        <v>2</v>
      </c>
      <c r="E26" s="165">
        <v>3</v>
      </c>
      <c r="F26" s="309"/>
      <c r="G26" s="309"/>
      <c r="H26" s="308"/>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row>
    <row r="27" spans="2:32" x14ac:dyDescent="0.2">
      <c r="B27" s="149"/>
      <c r="C27" s="150"/>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row>
    <row r="28" spans="2:32" x14ac:dyDescent="0.2">
      <c r="B28" s="149"/>
      <c r="C28" s="150"/>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row>
    <row r="29" spans="2:32" x14ac:dyDescent="0.2">
      <c r="B29" s="151"/>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49"/>
      <c r="AD29" s="149"/>
      <c r="AE29" s="149"/>
    </row>
    <row r="30" spans="2:32" x14ac:dyDescent="0.2">
      <c r="B30" s="149"/>
      <c r="C30" s="150"/>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row>
    <row r="31" spans="2:32" ht="25.5" x14ac:dyDescent="0.2">
      <c r="B31" s="166" t="s">
        <v>68</v>
      </c>
      <c r="C31" s="310" t="s">
        <v>267</v>
      </c>
      <c r="D31" s="311"/>
      <c r="E31" s="311"/>
      <c r="F31" s="311"/>
      <c r="G31" s="311"/>
      <c r="H31" s="311"/>
      <c r="I31" s="311"/>
      <c r="J31" s="311"/>
      <c r="K31" s="311"/>
      <c r="L31" s="312"/>
      <c r="M31" s="166" t="s">
        <v>68</v>
      </c>
      <c r="N31" s="304" t="s">
        <v>265</v>
      </c>
      <c r="O31" s="304"/>
      <c r="P31" s="304"/>
      <c r="Q31" s="304"/>
      <c r="R31" s="304"/>
      <c r="S31" s="304"/>
      <c r="T31" s="304"/>
      <c r="U31" s="304"/>
      <c r="V31" s="304"/>
      <c r="W31" s="304"/>
      <c r="X31" s="304"/>
      <c r="Y31" s="304"/>
      <c r="Z31" s="304"/>
      <c r="AA31" s="304"/>
      <c r="AB31" s="304"/>
      <c r="AD31" s="253" t="s">
        <v>427</v>
      </c>
      <c r="AE31" s="254"/>
      <c r="AF31" s="255"/>
    </row>
    <row r="32" spans="2:32" x14ac:dyDescent="0.2">
      <c r="B32" s="149"/>
      <c r="C32" s="150"/>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row>
    <row r="33" spans="2:32" s="20" customFormat="1" ht="63.75" x14ac:dyDescent="0.2">
      <c r="B33" s="167" t="s">
        <v>168</v>
      </c>
      <c r="C33" s="167" t="s">
        <v>169</v>
      </c>
      <c r="D33" s="167" t="s">
        <v>448</v>
      </c>
      <c r="E33" s="167" t="s">
        <v>51</v>
      </c>
      <c r="F33" s="43" t="s">
        <v>286</v>
      </c>
      <c r="G33" s="167" t="s">
        <v>49</v>
      </c>
      <c r="H33" s="167" t="s">
        <v>424</v>
      </c>
      <c r="I33" s="167" t="s">
        <v>0</v>
      </c>
      <c r="J33" s="167" t="s">
        <v>156</v>
      </c>
      <c r="K33" s="167" t="s">
        <v>1</v>
      </c>
      <c r="L33" s="167" t="s">
        <v>2</v>
      </c>
      <c r="M33" s="167" t="s">
        <v>3</v>
      </c>
      <c r="N33" s="43" t="s">
        <v>293</v>
      </c>
      <c r="O33" s="52" t="s">
        <v>70</v>
      </c>
      <c r="P33" s="52" t="s">
        <v>74</v>
      </c>
      <c r="Q33" s="52" t="s">
        <v>75</v>
      </c>
      <c r="R33" s="146" t="s">
        <v>171</v>
      </c>
      <c r="S33" s="43" t="s">
        <v>287</v>
      </c>
      <c r="T33" s="52" t="s">
        <v>425</v>
      </c>
      <c r="U33" s="52" t="s">
        <v>76</v>
      </c>
      <c r="V33" s="52" t="s">
        <v>157</v>
      </c>
      <c r="W33" s="52" t="s">
        <v>77</v>
      </c>
      <c r="X33" s="52" t="s">
        <v>79</v>
      </c>
      <c r="Y33" s="52" t="s">
        <v>266</v>
      </c>
      <c r="Z33" s="146" t="s">
        <v>78</v>
      </c>
      <c r="AA33" s="146" t="s">
        <v>163</v>
      </c>
      <c r="AB33" s="146" t="s">
        <v>71</v>
      </c>
      <c r="AC33" s="168"/>
      <c r="AD33" s="169" t="s">
        <v>158</v>
      </c>
      <c r="AE33" s="169" t="s">
        <v>72</v>
      </c>
      <c r="AF33" s="169" t="s">
        <v>73</v>
      </c>
    </row>
    <row r="34" spans="2:32" ht="51" x14ac:dyDescent="0.2">
      <c r="B34" s="29">
        <v>1.4</v>
      </c>
      <c r="C34" s="23" t="s">
        <v>15</v>
      </c>
      <c r="D34" s="233" t="s">
        <v>449</v>
      </c>
      <c r="E34" s="203" t="s">
        <v>147</v>
      </c>
      <c r="F34" s="170">
        <v>3</v>
      </c>
      <c r="G34" s="171">
        <f>IFERROR(VLOOKUP(tblRiskRegister19[[#This Row],[Asset Class]],tblVCDBIndex[],4,FALSE),"")</f>
        <v>1</v>
      </c>
      <c r="H34" s="171">
        <f>IFERROR(VLOOKUP(10*tblRiskRegister19[[#This Row],[Safeguard Maturity Score]]+tblRiskRegister19[[#This Row],[VCDB Index]],tblHITIndexWeightTable[],4,FALSE),"")</f>
        <v>2</v>
      </c>
      <c r="I34" s="171">
        <f>VLOOKUP(tblRiskRegister19[[#This Row],[Asset Class]],tblImpactIndex21[],2,FALSE)</f>
        <v>2</v>
      </c>
      <c r="J34" s="171">
        <f>VLOOKUP(tblRiskRegister19[[#This Row],[Asset Class]],tblImpactIndex21[],3,FALSE)</f>
        <v>2</v>
      </c>
      <c r="K34" s="171">
        <f>VLOOKUP(tblRiskRegister19[[#This Row],[Asset Class]],tblImpactIndex21[],4,FALSE)</f>
        <v>2</v>
      </c>
      <c r="L34" s="171">
        <f>IFERROR(MAX(tblRiskRegister19[[#This Row],[Impact to Mission]:[Impact to Obligations]])*tblRiskRegister19[[#This Row],[Expectancy Score]],"")</f>
        <v>4</v>
      </c>
      <c r="M34" s="171">
        <f>tblRiskRegister19[[#This Row],[Risk Score]]</f>
        <v>4</v>
      </c>
      <c r="N34" s="172" t="s">
        <v>268</v>
      </c>
      <c r="O34" s="29">
        <v>1.4</v>
      </c>
      <c r="P34" s="24" t="s">
        <v>15</v>
      </c>
      <c r="Q34" s="24" t="s">
        <v>172</v>
      </c>
      <c r="R34" s="30" t="s">
        <v>301</v>
      </c>
      <c r="S34" s="170">
        <v>4</v>
      </c>
      <c r="T34" s="173">
        <f>IFERROR(VLOOKUP(10*tblRiskRegister19[[#This Row],[Risk Treatment Safeguard Maturity Score]]+tblRiskRegister19[[#This Row],[VCDB Index]],tblHITIndexWeightTable[],4,FALSE),"")</f>
        <v>1</v>
      </c>
      <c r="U34" s="173">
        <f>VLOOKUP(tblRiskRegister19[[#This Row],[Asset Class]],tblImpactIndex21[],2,FALSE)</f>
        <v>2</v>
      </c>
      <c r="V34" s="173">
        <f>VLOOKUP(tblRiskRegister19[[#This Row],[Asset Class]],tblImpactIndex21[],3,FALSE)</f>
        <v>2</v>
      </c>
      <c r="W34" s="173">
        <f>VLOOKUP(tblRiskRegister19[[#This Row],[Asset Class]],tblImpactIndex21[],4,FALSE)</f>
        <v>2</v>
      </c>
      <c r="X34" s="173">
        <f>IFERROR(MAX(tblRiskRegister19[[#This Row],[Risk Treatment Safeguard Impact to Mission]:[Risk Treatment Safeguard Impact to Obligations]])*tblRiskRegister19[[#This Row],[Risk Treatment
Safeguard Expectancy Score]],"")</f>
        <v>2</v>
      </c>
      <c r="Y34" s="174" t="str">
        <f>IF(tblRiskRegister19[[#This Row],[Risk Score]]&gt;5,IF(tblRiskRegister19[[#This Row],[Risk Treatment Safeguard Risk Score]]&lt;6, IF(tblRiskRegister19[[#This Row],[Risk Treatment Safeguard Risk Score]]&lt;=tblRiskRegister19[[#This Row],[Risk Score]],"Yes","No"),"No"),"Yes")</f>
        <v>Yes</v>
      </c>
      <c r="Z34" s="175"/>
      <c r="AA34" s="175" t="s">
        <v>164</v>
      </c>
      <c r="AB34" s="176">
        <v>2022</v>
      </c>
      <c r="AC34" s="149"/>
      <c r="AD34" s="177">
        <f>SUMIF(tblRiskRegister19[[#All],[Implementation Year]],"="&amp;tblCostImpacts20[[#This Row],[Year]],tblRiskRegister19[[#All],[Risk Treatment Safeguard Cost]])</f>
        <v>5000</v>
      </c>
      <c r="AE34" s="162">
        <v>2021</v>
      </c>
      <c r="AF34" s="162" t="str">
        <f>IF(tblCostImpacts20[[#This Row],[Impact to Financial Objectives]]&lt;=$E$12,"Yes","No")</f>
        <v>Yes</v>
      </c>
    </row>
    <row r="35" spans="2:32" ht="38.25" x14ac:dyDescent="0.2">
      <c r="B35" s="29">
        <v>1.6</v>
      </c>
      <c r="C35" s="23" t="s">
        <v>16</v>
      </c>
      <c r="D35" s="233" t="s">
        <v>450</v>
      </c>
      <c r="E35" s="203" t="s">
        <v>147</v>
      </c>
      <c r="F35" s="170">
        <v>3</v>
      </c>
      <c r="G35" s="171">
        <f>IFERROR(VLOOKUP(tblRiskRegister19[[#This Row],[Asset Class]],tblVCDBIndex[],4,FALSE),"")</f>
        <v>1</v>
      </c>
      <c r="H35" s="171">
        <f>IFERROR(VLOOKUP(10*tblRiskRegister19[[#This Row],[Safeguard Maturity Score]]+tblRiskRegister19[[#This Row],[VCDB Index]],tblHITIndexWeightTable[],4,FALSE),"")</f>
        <v>2</v>
      </c>
      <c r="I35" s="171">
        <f>VLOOKUP(tblRiskRegister19[[#This Row],[Asset Class]],tblImpactIndex21[],2,FALSE)</f>
        <v>2</v>
      </c>
      <c r="J35" s="171">
        <f>VLOOKUP(tblRiskRegister19[[#This Row],[Asset Class]],tblImpactIndex21[],3,FALSE)</f>
        <v>2</v>
      </c>
      <c r="K35" s="171">
        <f>VLOOKUP(tblRiskRegister19[[#This Row],[Asset Class]],tblImpactIndex21[],4,FALSE)</f>
        <v>2</v>
      </c>
      <c r="L35" s="171">
        <f>IFERROR(MAX(tblRiskRegister19[[#This Row],[Impact to Mission]:[Impact to Obligations]])*tblRiskRegister19[[#This Row],[Expectancy Score]],"")</f>
        <v>4</v>
      </c>
      <c r="M35" s="171">
        <f>tblRiskRegister19[[#This Row],[Risk Score]]</f>
        <v>4</v>
      </c>
      <c r="N35" s="172" t="s">
        <v>268</v>
      </c>
      <c r="O35" s="29">
        <v>1.6</v>
      </c>
      <c r="P35" s="24" t="s">
        <v>16</v>
      </c>
      <c r="Q35" s="24" t="s">
        <v>416</v>
      </c>
      <c r="R35" s="30" t="s">
        <v>301</v>
      </c>
      <c r="S35" s="170">
        <v>4</v>
      </c>
      <c r="T35" s="174">
        <f>IFERROR(VLOOKUP(10*tblRiskRegister19[[#This Row],[Risk Treatment Safeguard Maturity Score]]+tblRiskRegister19[[#This Row],[VCDB Index]],tblHITIndexWeightTable[],4,FALSE),"")</f>
        <v>1</v>
      </c>
      <c r="U35" s="174">
        <f>VLOOKUP(tblRiskRegister19[[#This Row],[Asset Class]],tblImpactIndex21[],2,FALSE)</f>
        <v>2</v>
      </c>
      <c r="V35" s="174">
        <f>VLOOKUP(tblRiskRegister19[[#This Row],[Asset Class]],tblImpactIndex21[],3,FALSE)</f>
        <v>2</v>
      </c>
      <c r="W35" s="174">
        <f>VLOOKUP(tblRiskRegister19[[#This Row],[Asset Class]],tblImpactIndex21[],4,FALSE)</f>
        <v>2</v>
      </c>
      <c r="X35" s="174">
        <f>IFERROR(MAX(tblRiskRegister19[[#This Row],[Risk Treatment Safeguard Impact to Mission]:[Risk Treatment Safeguard Impact to Obligations]])*tblRiskRegister19[[#This Row],[Risk Treatment
Safeguard Expectancy Score]],"")</f>
        <v>2</v>
      </c>
      <c r="Y35" s="174" t="str">
        <f>IF(tblRiskRegister19[[#This Row],[Risk Score]]&gt;5,IF(tblRiskRegister19[[#This Row],[Risk Treatment Safeguard Risk Score]]&lt;6, IF(tblRiskRegister19[[#This Row],[Risk Treatment Safeguard Risk Score]]&lt;=tblRiskRegister19[[#This Row],[Risk Score]],"Yes","No"),"No"),"Yes")</f>
        <v>Yes</v>
      </c>
      <c r="Z35" s="175"/>
      <c r="AA35" s="175" t="s">
        <v>289</v>
      </c>
      <c r="AB35" s="176">
        <v>2022</v>
      </c>
      <c r="AC35" s="149"/>
      <c r="AD35" s="177">
        <f>SUMIF(tblRiskRegister19[[#All],[Implementation Year]],"="&amp;tblCostImpacts20[[#This Row],[Year]],tblRiskRegister19[[#All],[Risk Treatment Safeguard Cost]])</f>
        <v>0</v>
      </c>
      <c r="AE35" s="162">
        <v>2022</v>
      </c>
      <c r="AF35" s="162" t="str">
        <f>IF(tblCostImpacts20[[#This Row],[Impact to Financial Objectives]]&lt;=$E$12,"Yes","No")</f>
        <v>Yes</v>
      </c>
    </row>
    <row r="36" spans="2:32" ht="38.25" x14ac:dyDescent="0.2">
      <c r="B36" s="29">
        <v>2.1</v>
      </c>
      <c r="C36" s="23" t="s">
        <v>17</v>
      </c>
      <c r="D36" s="233" t="s">
        <v>449</v>
      </c>
      <c r="E36" s="203" t="s">
        <v>148</v>
      </c>
      <c r="F36" s="170">
        <v>2</v>
      </c>
      <c r="G36" s="171">
        <f>IFERROR(VLOOKUP(tblRiskRegister19[[#This Row],[Asset Class]],tblVCDBIndex[],4,FALSE),"")</f>
        <v>2</v>
      </c>
      <c r="H36" s="171">
        <f>IFERROR(VLOOKUP(10*tblRiskRegister19[[#This Row],[Safeguard Maturity Score]]+tblRiskRegister19[[#This Row],[VCDB Index]],tblHITIndexWeightTable[],4,FALSE),"")</f>
        <v>2</v>
      </c>
      <c r="I36" s="171">
        <f>VLOOKUP(tblRiskRegister19[[#This Row],[Asset Class]],tblImpactIndex21[],2,FALSE)</f>
        <v>2</v>
      </c>
      <c r="J36" s="171">
        <f>VLOOKUP(tblRiskRegister19[[#This Row],[Asset Class]],tblImpactIndex21[],3,FALSE)</f>
        <v>2</v>
      </c>
      <c r="K36" s="171">
        <f>VLOOKUP(tblRiskRegister19[[#This Row],[Asset Class]],tblImpactIndex21[],4,FALSE)</f>
        <v>3</v>
      </c>
      <c r="L36" s="171">
        <f>IFERROR(MAX(tblRiskRegister19[[#This Row],[Impact to Mission]:[Impact to Obligations]])*tblRiskRegister19[[#This Row],[Expectancy Score]],"")</f>
        <v>6</v>
      </c>
      <c r="M36" s="171">
        <f>tblRiskRegister19[[#This Row],[Risk Score]]</f>
        <v>6</v>
      </c>
      <c r="N36" s="172" t="s">
        <v>268</v>
      </c>
      <c r="O36" s="29">
        <v>2.1</v>
      </c>
      <c r="P36" s="24" t="s">
        <v>17</v>
      </c>
      <c r="Q36" s="24" t="s">
        <v>173</v>
      </c>
      <c r="R36" s="30" t="s">
        <v>300</v>
      </c>
      <c r="S36" s="170">
        <v>4</v>
      </c>
      <c r="T36" s="174">
        <f>IFERROR(VLOOKUP(10*tblRiskRegister19[[#This Row],[Risk Treatment Safeguard Maturity Score]]+tblRiskRegister19[[#This Row],[VCDB Index]],tblHITIndexWeightTable[],4,FALSE),"")</f>
        <v>1</v>
      </c>
      <c r="U36" s="174">
        <f>VLOOKUP(tblRiskRegister19[[#This Row],[Asset Class]],tblImpactIndex21[],2,FALSE)</f>
        <v>2</v>
      </c>
      <c r="V36" s="174">
        <f>VLOOKUP(tblRiskRegister19[[#This Row],[Asset Class]],tblImpactIndex21[],3,FALSE)</f>
        <v>2</v>
      </c>
      <c r="W36" s="174">
        <f>VLOOKUP(tblRiskRegister19[[#This Row],[Asset Class]],tblImpactIndex21[],4,FALSE)</f>
        <v>3</v>
      </c>
      <c r="X36" s="174">
        <f>IFERROR(MAX(tblRiskRegister19[[#This Row],[Risk Treatment Safeguard Impact to Mission]:[Risk Treatment Safeguard Impact to Obligations]])*tblRiskRegister19[[#This Row],[Risk Treatment
Safeguard Expectancy Score]],"")</f>
        <v>3</v>
      </c>
      <c r="Y36" s="174" t="str">
        <f>IF(tblRiskRegister19[[#This Row],[Risk Score]]&gt;5,IF(tblRiskRegister19[[#This Row],[Risk Treatment Safeguard Risk Score]]&lt;6, IF(tblRiskRegister19[[#This Row],[Risk Treatment Safeguard Risk Score]]&lt;=tblRiskRegister19[[#This Row],[Risk Score]],"Yes","No"),"No"),"Yes")</f>
        <v>Yes</v>
      </c>
      <c r="Z36" s="175"/>
      <c r="AA36" s="175" t="s">
        <v>290</v>
      </c>
      <c r="AB36" s="176">
        <v>2022</v>
      </c>
      <c r="AC36" s="149"/>
      <c r="AD36" s="177">
        <f>SUMIF(tblRiskRegister19[[#All],[Implementation Year]],"="&amp;tblCostImpacts20[[#This Row],[Year]],tblRiskRegister19[[#All],[Risk Treatment Safeguard Cost]])</f>
        <v>0</v>
      </c>
      <c r="AE36" s="162">
        <v>2023</v>
      </c>
      <c r="AF36" s="162" t="str">
        <f>IF(tblCostImpacts20[[#This Row],[Impact to Financial Objectives]]&lt;=$E$12,"Yes","No")</f>
        <v>Yes</v>
      </c>
    </row>
    <row r="37" spans="2:32" ht="63.75" x14ac:dyDescent="0.2">
      <c r="B37" s="29">
        <v>2.2000000000000002</v>
      </c>
      <c r="C37" s="23" t="s">
        <v>18</v>
      </c>
      <c r="D37" s="233" t="s">
        <v>449</v>
      </c>
      <c r="E37" s="203" t="s">
        <v>148</v>
      </c>
      <c r="F37" s="170">
        <v>4</v>
      </c>
      <c r="G37" s="171">
        <f>IFERROR(VLOOKUP(tblRiskRegister19[[#This Row],[Asset Class]],tblVCDBIndex[],4,FALSE),"")</f>
        <v>2</v>
      </c>
      <c r="H37" s="171">
        <f>IFERROR(VLOOKUP(10*tblRiskRegister19[[#This Row],[Safeguard Maturity Score]]+tblRiskRegister19[[#This Row],[VCDB Index]],tblHITIndexWeightTable[],4,FALSE),"")</f>
        <v>1</v>
      </c>
      <c r="I37" s="171">
        <f>VLOOKUP(tblRiskRegister19[[#This Row],[Asset Class]],tblImpactIndex21[],2,FALSE)</f>
        <v>2</v>
      </c>
      <c r="J37" s="171">
        <f>VLOOKUP(tblRiskRegister19[[#This Row],[Asset Class]],tblImpactIndex21[],3,FALSE)</f>
        <v>2</v>
      </c>
      <c r="K37" s="171">
        <f>VLOOKUP(tblRiskRegister19[[#This Row],[Asset Class]],tblImpactIndex21[],4,FALSE)</f>
        <v>3</v>
      </c>
      <c r="L37" s="171">
        <f>IFERROR(MAX(tblRiskRegister19[[#This Row],[Impact to Mission]:[Impact to Obligations]])*tblRiskRegister19[[#This Row],[Expectancy Score]],"")</f>
        <v>3</v>
      </c>
      <c r="M37" s="171">
        <f>tblRiskRegister19[[#This Row],[Risk Score]]</f>
        <v>3</v>
      </c>
      <c r="N37" s="172" t="s">
        <v>269</v>
      </c>
      <c r="O37" s="29">
        <v>2.2000000000000002</v>
      </c>
      <c r="P37" s="24" t="s">
        <v>18</v>
      </c>
      <c r="Q37" s="24" t="s">
        <v>174</v>
      </c>
      <c r="R37" s="30"/>
      <c r="S37" s="170"/>
      <c r="T37" s="174" t="str">
        <f>IFERROR(VLOOKUP(10*tblRiskRegister19[[#This Row],[Risk Treatment Safeguard Maturity Score]]+tblRiskRegister19[[#This Row],[VCDB Index]],tblHITIndexWeightTable[],4,FALSE),"")</f>
        <v/>
      </c>
      <c r="U37" s="174">
        <f>VLOOKUP(tblRiskRegister19[[#This Row],[Asset Class]],tblImpactIndex21[],2,FALSE)</f>
        <v>2</v>
      </c>
      <c r="V37" s="174">
        <f>VLOOKUP(tblRiskRegister19[[#This Row],[Asset Class]],tblImpactIndex21[],3,FALSE)</f>
        <v>2</v>
      </c>
      <c r="W37" s="174">
        <f>VLOOKUP(tblRiskRegister19[[#This Row],[Asset Class]],tblImpactIndex21[],4,FALSE)</f>
        <v>3</v>
      </c>
      <c r="X37" s="174" t="str">
        <f>IFERROR(MAX(tblRiskRegister19[[#This Row],[Risk Treatment Safeguard Impact to Mission]:[Risk Treatment Safeguard Impact to Obligations]])*tblRiskRegister19[[#This Row],[Risk Treatment
Safeguard Expectancy Score]],"")</f>
        <v/>
      </c>
      <c r="Y37" s="174" t="str">
        <f>IF(tblRiskRegister19[[#This Row],[Risk Score]]&gt;5,IF(tblRiskRegister19[[#This Row],[Risk Treatment Safeguard Risk Score]]&lt;6, IF(tblRiskRegister19[[#This Row],[Risk Treatment Safeguard Risk Score]]&lt;=tblRiskRegister19[[#This Row],[Risk Score]],"Yes","No"),"No"),"Yes")</f>
        <v>Yes</v>
      </c>
      <c r="Z37" s="175"/>
      <c r="AA37" s="175" t="s">
        <v>164</v>
      </c>
      <c r="AB37" s="176">
        <v>2022</v>
      </c>
      <c r="AC37" s="149"/>
      <c r="AD37" s="177">
        <f>SUMIF(tblRiskRegister19[[#All],[Implementation Year]],"="&amp;tblCostImpacts20[[#This Row],[Year]],tblRiskRegister19[[#All],[Risk Treatment Safeguard Cost]])</f>
        <v>0</v>
      </c>
      <c r="AE37" s="162">
        <v>2024</v>
      </c>
      <c r="AF37" s="162" t="str">
        <f>IF(tblCostImpacts20[[#This Row],[Impact to Financial Objectives]]&lt;=$E$12,"Yes","No")</f>
        <v>Yes</v>
      </c>
    </row>
    <row r="38" spans="2:32" ht="38.25" x14ac:dyDescent="0.2">
      <c r="B38" s="29">
        <v>2.6</v>
      </c>
      <c r="C38" s="23" t="s">
        <v>364</v>
      </c>
      <c r="D38" s="233" t="s">
        <v>450</v>
      </c>
      <c r="E38" s="203" t="s">
        <v>148</v>
      </c>
      <c r="F38" s="170">
        <v>1</v>
      </c>
      <c r="G38" s="171">
        <f>IFERROR(VLOOKUP(tblRiskRegister19[[#This Row],[Asset Class]],tblVCDBIndex[],4,FALSE),"")</f>
        <v>2</v>
      </c>
      <c r="H38" s="171">
        <f>IFERROR(VLOOKUP(10*tblRiskRegister19[[#This Row],[Safeguard Maturity Score]]+tblRiskRegister19[[#This Row],[VCDB Index]],tblHITIndexWeightTable[],4,FALSE),"")</f>
        <v>3</v>
      </c>
      <c r="I38" s="171">
        <f>VLOOKUP(tblRiskRegister19[[#This Row],[Asset Class]],tblImpactIndex21[],2,FALSE)</f>
        <v>2</v>
      </c>
      <c r="J38" s="171">
        <f>VLOOKUP(tblRiskRegister19[[#This Row],[Asset Class]],tblImpactIndex21[],3,FALSE)</f>
        <v>2</v>
      </c>
      <c r="K38" s="171">
        <f>VLOOKUP(tblRiskRegister19[[#This Row],[Asset Class]],tblImpactIndex21[],4,FALSE)</f>
        <v>3</v>
      </c>
      <c r="L38" s="171">
        <f>IFERROR(MAX(tblRiskRegister19[[#This Row],[Impact to Mission]:[Impact to Obligations]])*tblRiskRegister19[[#This Row],[Expectancy Score]],"")</f>
        <v>9</v>
      </c>
      <c r="M38" s="171">
        <f>tblRiskRegister19[[#This Row],[Risk Score]]</f>
        <v>9</v>
      </c>
      <c r="N38" s="172" t="s">
        <v>268</v>
      </c>
      <c r="O38" s="29">
        <v>2.6</v>
      </c>
      <c r="P38" s="24" t="s">
        <v>364</v>
      </c>
      <c r="Q38" s="24" t="s">
        <v>417</v>
      </c>
      <c r="R38" s="30" t="s">
        <v>297</v>
      </c>
      <c r="S38" s="170">
        <v>4</v>
      </c>
      <c r="T38" s="174">
        <f>IFERROR(VLOOKUP(10*tblRiskRegister19[[#This Row],[Risk Treatment Safeguard Maturity Score]]+tblRiskRegister19[[#This Row],[VCDB Index]],tblHITIndexWeightTable[],4,FALSE),"")</f>
        <v>1</v>
      </c>
      <c r="U38" s="174">
        <f>VLOOKUP(tblRiskRegister19[[#This Row],[Asset Class]],tblImpactIndex21[],2,FALSE)</f>
        <v>2</v>
      </c>
      <c r="V38" s="174">
        <f>VLOOKUP(tblRiskRegister19[[#This Row],[Asset Class]],tblImpactIndex21[],3,FALSE)</f>
        <v>2</v>
      </c>
      <c r="W38" s="174">
        <f>VLOOKUP(tblRiskRegister19[[#This Row],[Asset Class]],tblImpactIndex21[],4,FALSE)</f>
        <v>3</v>
      </c>
      <c r="X38" s="174">
        <f>IFERROR(MAX(tblRiskRegister19[[#This Row],[Risk Treatment Safeguard Impact to Mission]:[Risk Treatment Safeguard Impact to Obligations]])*tblRiskRegister19[[#This Row],[Risk Treatment
Safeguard Expectancy Score]],"")</f>
        <v>3</v>
      </c>
      <c r="Y38" s="174" t="str">
        <f>IF(tblRiskRegister19[[#This Row],[Risk Score]]&gt;5,IF(tblRiskRegister19[[#This Row],[Risk Treatment Safeguard Risk Score]]&lt;6, IF(tblRiskRegister19[[#This Row],[Risk Treatment Safeguard Risk Score]]&lt;=tblRiskRegister19[[#This Row],[Risk Score]],"Yes","No"),"No"),"Yes")</f>
        <v>Yes</v>
      </c>
      <c r="Z38" s="175"/>
      <c r="AA38" s="175" t="s">
        <v>291</v>
      </c>
      <c r="AB38" s="176">
        <v>2023</v>
      </c>
      <c r="AC38" s="149"/>
      <c r="AD38" s="177">
        <f>SUMIF(tblRiskRegister19[[#All],[Implementation Year]],"="&amp;tblCostImpacts20[[#This Row],[Year]],tblRiskRegister19[[#All],[Risk Treatment Safeguard Cost]])</f>
        <v>0</v>
      </c>
      <c r="AE38" s="162">
        <v>2025</v>
      </c>
      <c r="AF38" s="162" t="str">
        <f>IF(tblCostImpacts20[[#This Row],[Impact to Financial Objectives]]&lt;=$E$12,"Yes","No")</f>
        <v>Yes</v>
      </c>
    </row>
    <row r="39" spans="2:32" ht="51" x14ac:dyDescent="0.2">
      <c r="B39" s="29">
        <v>3.4</v>
      </c>
      <c r="C39" s="23" t="s">
        <v>19</v>
      </c>
      <c r="D39" s="233" t="s">
        <v>451</v>
      </c>
      <c r="E39" s="203" t="s">
        <v>147</v>
      </c>
      <c r="F39" s="170">
        <v>4</v>
      </c>
      <c r="G39" s="171">
        <f>IFERROR(VLOOKUP(tblRiskRegister19[[#This Row],[Asset Class]],tblVCDBIndex[],4,FALSE),"")</f>
        <v>1</v>
      </c>
      <c r="H39" s="171">
        <f>IFERROR(VLOOKUP(10*tblRiskRegister19[[#This Row],[Safeguard Maturity Score]]+tblRiskRegister19[[#This Row],[VCDB Index]],tblHITIndexWeightTable[],4,FALSE),"")</f>
        <v>1</v>
      </c>
      <c r="I39" s="171">
        <f>VLOOKUP(tblRiskRegister19[[#This Row],[Asset Class]],tblImpactIndex21[],2,FALSE)</f>
        <v>2</v>
      </c>
      <c r="J39" s="171">
        <f>VLOOKUP(tblRiskRegister19[[#This Row],[Asset Class]],tblImpactIndex21[],3,FALSE)</f>
        <v>2</v>
      </c>
      <c r="K39" s="171">
        <f>VLOOKUP(tblRiskRegister19[[#This Row],[Asset Class]],tblImpactIndex21[],4,FALSE)</f>
        <v>2</v>
      </c>
      <c r="L39" s="171">
        <f>IFERROR(MAX(tblRiskRegister19[[#This Row],[Impact to Mission]:[Impact to Obligations]])*tblRiskRegister19[[#This Row],[Expectancy Score]],"")</f>
        <v>2</v>
      </c>
      <c r="M39" s="171">
        <f>tblRiskRegister19[[#This Row],[Risk Score]]</f>
        <v>2</v>
      </c>
      <c r="N39" s="172" t="s">
        <v>269</v>
      </c>
      <c r="O39" s="29">
        <v>3.4</v>
      </c>
      <c r="P39" s="24" t="s">
        <v>19</v>
      </c>
      <c r="Q39" s="24" t="s">
        <v>175</v>
      </c>
      <c r="R39" s="30"/>
      <c r="S39" s="170"/>
      <c r="T39" s="174" t="str">
        <f>IFERROR(VLOOKUP(10*tblRiskRegister19[[#This Row],[Risk Treatment Safeguard Maturity Score]]+tblRiskRegister19[[#This Row],[VCDB Index]],tblHITIndexWeightTable[],4,FALSE),"")</f>
        <v/>
      </c>
      <c r="U39" s="174">
        <f>VLOOKUP(tblRiskRegister19[[#This Row],[Asset Class]],tblImpactIndex21[],2,FALSE)</f>
        <v>2</v>
      </c>
      <c r="V39" s="174">
        <f>VLOOKUP(tblRiskRegister19[[#This Row],[Asset Class]],tblImpactIndex21[],3,FALSE)</f>
        <v>2</v>
      </c>
      <c r="W39" s="174">
        <f>VLOOKUP(tblRiskRegister19[[#This Row],[Asset Class]],tblImpactIndex21[],4,FALSE)</f>
        <v>2</v>
      </c>
      <c r="X39" s="174" t="str">
        <f>IFERROR(MAX(tblRiskRegister19[[#This Row],[Risk Treatment Safeguard Impact to Mission]:[Risk Treatment Safeguard Impact to Obligations]])*tblRiskRegister19[[#This Row],[Risk Treatment
Safeguard Expectancy Score]],"")</f>
        <v/>
      </c>
      <c r="Y39" s="174" t="str">
        <f>IF(tblRiskRegister19[[#This Row],[Risk Score]]&gt;5,IF(tblRiskRegister19[[#This Row],[Risk Treatment Safeguard Risk Score]]&lt;6, IF(tblRiskRegister19[[#This Row],[Risk Treatment Safeguard Risk Score]]&lt;=tblRiskRegister19[[#This Row],[Risk Score]],"Yes","No"),"No"),"Yes")</f>
        <v>Yes</v>
      </c>
      <c r="Z39" s="175"/>
      <c r="AA39" s="175" t="s">
        <v>164</v>
      </c>
      <c r="AB39" s="176">
        <v>2023</v>
      </c>
      <c r="AC39" s="149"/>
      <c r="AD39" s="177">
        <f>SUMIF(tblRiskRegister19[[#All],[Implementation Year]],"="&amp;tblCostImpacts20[[#This Row],[Year]],tblRiskRegister19[[#All],[Risk Treatment Safeguard Cost]])</f>
        <v>0</v>
      </c>
      <c r="AE39" s="162">
        <v>2026</v>
      </c>
      <c r="AF39" s="162" t="str">
        <f>IF(tblCostImpacts20[[#This Row],[Impact to Financial Objectives]]&lt;=$E$12,"Yes","No")</f>
        <v>Yes</v>
      </c>
    </row>
    <row r="40" spans="2:32" ht="51" x14ac:dyDescent="0.2">
      <c r="B40" s="29">
        <v>3.5</v>
      </c>
      <c r="C40" s="23" t="s">
        <v>20</v>
      </c>
      <c r="D40" s="233" t="s">
        <v>451</v>
      </c>
      <c r="E40" s="203" t="s">
        <v>147</v>
      </c>
      <c r="F40" s="170">
        <v>1</v>
      </c>
      <c r="G40" s="171">
        <f>IFERROR(VLOOKUP(tblRiskRegister19[[#This Row],[Asset Class]],tblVCDBIndex[],4,FALSE),"")</f>
        <v>1</v>
      </c>
      <c r="H40" s="171">
        <f>IFERROR(VLOOKUP(10*tblRiskRegister19[[#This Row],[Safeguard Maturity Score]]+tblRiskRegister19[[#This Row],[VCDB Index]],tblHITIndexWeightTable[],4,FALSE),"")</f>
        <v>2</v>
      </c>
      <c r="I40" s="171">
        <f>VLOOKUP(tblRiskRegister19[[#This Row],[Asset Class]],tblImpactIndex21[],2,FALSE)</f>
        <v>2</v>
      </c>
      <c r="J40" s="171">
        <f>VLOOKUP(tblRiskRegister19[[#This Row],[Asset Class]],tblImpactIndex21[],3,FALSE)</f>
        <v>2</v>
      </c>
      <c r="K40" s="171">
        <f>VLOOKUP(tblRiskRegister19[[#This Row],[Asset Class]],tblImpactIndex21[],4,FALSE)</f>
        <v>2</v>
      </c>
      <c r="L40" s="171">
        <f>IFERROR(MAX(tblRiskRegister19[[#This Row],[Impact to Mission]:[Impact to Obligations]])*tblRiskRegister19[[#This Row],[Expectancy Score]],"")</f>
        <v>4</v>
      </c>
      <c r="M40" s="171">
        <f>tblRiskRegister19[[#This Row],[Risk Score]]</f>
        <v>4</v>
      </c>
      <c r="N40" s="172" t="s">
        <v>268</v>
      </c>
      <c r="O40" s="29">
        <v>3.5</v>
      </c>
      <c r="P40" s="24" t="s">
        <v>20</v>
      </c>
      <c r="Q40" s="24" t="s">
        <v>176</v>
      </c>
      <c r="R40" s="30" t="s">
        <v>299</v>
      </c>
      <c r="S40" s="170">
        <v>4</v>
      </c>
      <c r="T40" s="174">
        <f>IFERROR(VLOOKUP(10*tblRiskRegister19[[#This Row],[Risk Treatment Safeguard Maturity Score]]+tblRiskRegister19[[#This Row],[VCDB Index]],tblHITIndexWeightTable[],4,FALSE),"")</f>
        <v>1</v>
      </c>
      <c r="U40" s="174">
        <f>VLOOKUP(tblRiskRegister19[[#This Row],[Asset Class]],tblImpactIndex21[],2,FALSE)</f>
        <v>2</v>
      </c>
      <c r="V40" s="174">
        <f>VLOOKUP(tblRiskRegister19[[#This Row],[Asset Class]],tblImpactIndex21[],3,FALSE)</f>
        <v>2</v>
      </c>
      <c r="W40" s="174">
        <f>VLOOKUP(tblRiskRegister19[[#This Row],[Asset Class]],tblImpactIndex21[],4,FALSE)</f>
        <v>2</v>
      </c>
      <c r="X40" s="174">
        <f>IFERROR(MAX(tblRiskRegister19[[#This Row],[Risk Treatment Safeguard Impact to Mission]:[Risk Treatment Safeguard Impact to Obligations]])*tblRiskRegister19[[#This Row],[Risk Treatment
Safeguard Expectancy Score]],"")</f>
        <v>2</v>
      </c>
      <c r="Y40" s="174" t="str">
        <f>IF(tblRiskRegister19[[#This Row],[Risk Score]]&gt;5,IF(tblRiskRegister19[[#This Row],[Risk Treatment Safeguard Risk Score]]&lt;6, IF(tblRiskRegister19[[#This Row],[Risk Treatment Safeguard Risk Score]]&lt;=tblRiskRegister19[[#This Row],[Risk Score]],"Yes","No"),"No"),"Yes")</f>
        <v>Yes</v>
      </c>
      <c r="Z40" s="175"/>
      <c r="AA40" s="175" t="s">
        <v>290</v>
      </c>
      <c r="AB40" s="176">
        <v>2021</v>
      </c>
      <c r="AC40" s="149"/>
      <c r="AD40" s="177">
        <f>SUMIF(tblRiskRegister19[[#All],[Implementation Year]],"="&amp;tblCostImpacts20[[#This Row],[Year]],tblRiskRegister19[[#All],[Risk Treatment Safeguard Cost]])</f>
        <v>0</v>
      </c>
      <c r="AE40" s="162">
        <v>2027</v>
      </c>
      <c r="AF40" s="162" t="str">
        <f>IF(tblCostImpacts20[[#This Row],[Impact to Financial Objectives]]&lt;=$E$12,"Yes","No")</f>
        <v>Yes</v>
      </c>
    </row>
    <row r="41" spans="2:32" ht="38.25" x14ac:dyDescent="0.2">
      <c r="B41" s="29">
        <v>4.2</v>
      </c>
      <c r="C41" s="23" t="s">
        <v>21</v>
      </c>
      <c r="D41" s="233" t="s">
        <v>451</v>
      </c>
      <c r="E41" s="203" t="s">
        <v>150</v>
      </c>
      <c r="F41" s="170">
        <v>3</v>
      </c>
      <c r="G41" s="171">
        <f>IFERROR(VLOOKUP(tblRiskRegister19[[#This Row],[Asset Class]],tblVCDBIndex[],4,FALSE),"")</f>
        <v>3</v>
      </c>
      <c r="H41" s="171">
        <f>IFERROR(VLOOKUP(10*tblRiskRegister19[[#This Row],[Safeguard Maturity Score]]+tblRiskRegister19[[#This Row],[VCDB Index]],tblHITIndexWeightTable[],4,FALSE),"")</f>
        <v>2</v>
      </c>
      <c r="I41" s="171">
        <f>VLOOKUP(tblRiskRegister19[[#This Row],[Asset Class]],tblImpactIndex21[],2,FALSE)</f>
        <v>2</v>
      </c>
      <c r="J41" s="171">
        <f>VLOOKUP(tblRiskRegister19[[#This Row],[Asset Class]],tblImpactIndex21[],3,FALSE)</f>
        <v>2</v>
      </c>
      <c r="K41" s="171">
        <f>VLOOKUP(tblRiskRegister19[[#This Row],[Asset Class]],tblImpactIndex21[],4,FALSE)</f>
        <v>3</v>
      </c>
      <c r="L41" s="171">
        <f>IFERROR(MAX(tblRiskRegister19[[#This Row],[Impact to Mission]:[Impact to Obligations]])*tblRiskRegister19[[#This Row],[Expectancy Score]],"")</f>
        <v>6</v>
      </c>
      <c r="M41" s="171">
        <f>tblRiskRegister19[[#This Row],[Risk Score]]</f>
        <v>6</v>
      </c>
      <c r="N41" s="172" t="s">
        <v>268</v>
      </c>
      <c r="O41" s="29">
        <v>4.2</v>
      </c>
      <c r="P41" s="24" t="s">
        <v>21</v>
      </c>
      <c r="Q41" s="24" t="s">
        <v>177</v>
      </c>
      <c r="R41" s="30" t="s">
        <v>298</v>
      </c>
      <c r="S41" s="170">
        <v>4</v>
      </c>
      <c r="T41" s="174">
        <f>IFERROR(VLOOKUP(10*tblRiskRegister19[[#This Row],[Risk Treatment Safeguard Maturity Score]]+tblRiskRegister19[[#This Row],[VCDB Index]],tblHITIndexWeightTable[],4,FALSE),"")</f>
        <v>2</v>
      </c>
      <c r="U41" s="174">
        <f>VLOOKUP(tblRiskRegister19[[#This Row],[Asset Class]],tblImpactIndex21[],2,FALSE)</f>
        <v>2</v>
      </c>
      <c r="V41" s="174">
        <f>VLOOKUP(tblRiskRegister19[[#This Row],[Asset Class]],tblImpactIndex21[],3,FALSE)</f>
        <v>2</v>
      </c>
      <c r="W41" s="174">
        <f>VLOOKUP(tblRiskRegister19[[#This Row],[Asset Class]],tblImpactIndex21[],4,FALSE)</f>
        <v>3</v>
      </c>
      <c r="X41" s="174">
        <f>IFERROR(MAX(tblRiskRegister19[[#This Row],[Risk Treatment Safeguard Impact to Mission]:[Risk Treatment Safeguard Impact to Obligations]])*tblRiskRegister19[[#This Row],[Risk Treatment
Safeguard Expectancy Score]],"")</f>
        <v>6</v>
      </c>
      <c r="Y41" s="174" t="str">
        <f>IF(tblRiskRegister19[[#This Row],[Risk Score]]&gt;5,IF(tblRiskRegister19[[#This Row],[Risk Treatment Safeguard Risk Score]]&lt;6, IF(tblRiskRegister19[[#This Row],[Risk Treatment Safeguard Risk Score]]&lt;=tblRiskRegister19[[#This Row],[Risk Score]],"Yes","No"),"No"),"Yes")</f>
        <v>No</v>
      </c>
      <c r="Z41" s="175">
        <v>5000</v>
      </c>
      <c r="AA41" s="175" t="s">
        <v>290</v>
      </c>
      <c r="AB41" s="176">
        <v>2021</v>
      </c>
      <c r="AC41" s="149"/>
      <c r="AD41" s="177">
        <f>SUMIF(tblRiskRegister19[[#All],[Implementation Year]],"="&amp;tblCostImpacts20[[#This Row],[Year]],tblRiskRegister19[[#All],[Risk Treatment Safeguard Cost]])</f>
        <v>0</v>
      </c>
      <c r="AE41" s="162">
        <v>2028</v>
      </c>
      <c r="AF41" s="162" t="str">
        <f>IF(tblCostImpacts20[[#This Row],[Impact to Financial Objectives]]&lt;=$E$12,"Yes","No")</f>
        <v>Yes</v>
      </c>
    </row>
    <row r="42" spans="2:32" ht="51" x14ac:dyDescent="0.2">
      <c r="B42" s="29">
        <v>4.3</v>
      </c>
      <c r="C42" s="23" t="s">
        <v>22</v>
      </c>
      <c r="D42" s="233" t="s">
        <v>451</v>
      </c>
      <c r="E42" s="203" t="s">
        <v>150</v>
      </c>
      <c r="F42" s="170">
        <v>4</v>
      </c>
      <c r="G42" s="171">
        <f>IFERROR(VLOOKUP(tblRiskRegister19[[#This Row],[Asset Class]],tblVCDBIndex[],4,FALSE),"")</f>
        <v>3</v>
      </c>
      <c r="H42" s="171">
        <f>IFERROR(VLOOKUP(10*tblRiskRegister19[[#This Row],[Safeguard Maturity Score]]+tblRiskRegister19[[#This Row],[VCDB Index]],tblHITIndexWeightTable[],4,FALSE),"")</f>
        <v>2</v>
      </c>
      <c r="I42" s="171">
        <f>VLOOKUP(tblRiskRegister19[[#This Row],[Asset Class]],tblImpactIndex21[],2,FALSE)</f>
        <v>2</v>
      </c>
      <c r="J42" s="171">
        <f>VLOOKUP(tblRiskRegister19[[#This Row],[Asset Class]],tblImpactIndex21[],3,FALSE)</f>
        <v>2</v>
      </c>
      <c r="K42" s="171">
        <f>VLOOKUP(tblRiskRegister19[[#This Row],[Asset Class]],tblImpactIndex21[],4,FALSE)</f>
        <v>3</v>
      </c>
      <c r="L42" s="171">
        <f>IFERROR(MAX(tblRiskRegister19[[#This Row],[Impact to Mission]:[Impact to Obligations]])*tblRiskRegister19[[#This Row],[Expectancy Score]],"")</f>
        <v>6</v>
      </c>
      <c r="M42" s="171">
        <f>tblRiskRegister19[[#This Row],[Risk Score]]</f>
        <v>6</v>
      </c>
      <c r="N42" s="172" t="s">
        <v>268</v>
      </c>
      <c r="O42" s="29">
        <v>4.3</v>
      </c>
      <c r="P42" s="24" t="s">
        <v>22</v>
      </c>
      <c r="Q42" s="24" t="s">
        <v>178</v>
      </c>
      <c r="R42" s="170"/>
      <c r="S42" s="170">
        <v>4</v>
      </c>
      <c r="T42" s="174">
        <f>IFERROR(VLOOKUP(10*tblRiskRegister19[[#This Row],[Risk Treatment Safeguard Maturity Score]]+tblRiskRegister19[[#This Row],[VCDB Index]],tblHITIndexWeightTable[],4,FALSE),"")</f>
        <v>2</v>
      </c>
      <c r="U42" s="174">
        <f>VLOOKUP(tblRiskRegister19[[#This Row],[Asset Class]],tblImpactIndex21[],2,FALSE)</f>
        <v>2</v>
      </c>
      <c r="V42" s="174">
        <f>VLOOKUP(tblRiskRegister19[[#This Row],[Asset Class]],tblImpactIndex21[],3,FALSE)</f>
        <v>2</v>
      </c>
      <c r="W42" s="174">
        <f>VLOOKUP(tblRiskRegister19[[#This Row],[Asset Class]],tblImpactIndex21[],4,FALSE)</f>
        <v>3</v>
      </c>
      <c r="X42" s="174">
        <f>IFERROR(MAX(tblRiskRegister19[[#This Row],[Risk Treatment Safeguard Impact to Mission]:[Risk Treatment Safeguard Impact to Obligations]])*tblRiskRegister19[[#This Row],[Risk Treatment
Safeguard Expectancy Score]],"")</f>
        <v>6</v>
      </c>
      <c r="Y42" s="174" t="str">
        <f>IF(tblRiskRegister19[[#This Row],[Risk Score]]&gt;5,IF(tblRiskRegister19[[#This Row],[Risk Treatment Safeguard Risk Score]]&lt;6, IF(tblRiskRegister19[[#This Row],[Risk Treatment Safeguard Risk Score]]&lt;=tblRiskRegister19[[#This Row],[Risk Score]],"Yes","No"),"No"),"Yes")</f>
        <v>No</v>
      </c>
      <c r="Z42" s="175"/>
      <c r="AA42" s="175"/>
      <c r="AB42" s="176"/>
      <c r="AC42" s="149"/>
      <c r="AD42" s="177">
        <f>SUMIF(tblRiskRegister19[[#All],[Implementation Year]],"="&amp;tblCostImpacts20[[#This Row],[Year]],tblRiskRegister19[[#All],[Risk Treatment Safeguard Cost]])</f>
        <v>0</v>
      </c>
      <c r="AE42" s="162">
        <v>2029</v>
      </c>
      <c r="AF42" s="162" t="str">
        <f>IF(tblCostImpacts20[[#This Row],[Impact to Financial Objectives]]&lt;=$E$12,"Yes","No")</f>
        <v>Yes</v>
      </c>
    </row>
    <row r="43" spans="2:32" ht="25.5" x14ac:dyDescent="0.2">
      <c r="B43" s="29">
        <v>5.0999999999999996</v>
      </c>
      <c r="C43" s="23" t="s">
        <v>24</v>
      </c>
      <c r="D43" s="233" t="s">
        <v>451</v>
      </c>
      <c r="E43" s="203" t="s">
        <v>147</v>
      </c>
      <c r="F43" s="170">
        <v>5</v>
      </c>
      <c r="G43" s="171">
        <f>IFERROR(VLOOKUP(tblRiskRegister19[[#This Row],[Asset Class]],tblVCDBIndex[],4,FALSE),"")</f>
        <v>1</v>
      </c>
      <c r="H43" s="171">
        <f>IFERROR(VLOOKUP(10*tblRiskRegister19[[#This Row],[Safeguard Maturity Score]]+tblRiskRegister19[[#This Row],[VCDB Index]],tblHITIndexWeightTable[],4,FALSE),"")</f>
        <v>1</v>
      </c>
      <c r="I43" s="171">
        <f>VLOOKUP(tblRiskRegister19[[#This Row],[Asset Class]],tblImpactIndex21[],2,FALSE)</f>
        <v>2</v>
      </c>
      <c r="J43" s="171">
        <f>VLOOKUP(tblRiskRegister19[[#This Row],[Asset Class]],tblImpactIndex21[],3,FALSE)</f>
        <v>2</v>
      </c>
      <c r="K43" s="171">
        <f>VLOOKUP(tblRiskRegister19[[#This Row],[Asset Class]],tblImpactIndex21[],4,FALSE)</f>
        <v>2</v>
      </c>
      <c r="L43" s="171">
        <f>IFERROR(MAX(tblRiskRegister19[[#This Row],[Impact to Mission]:[Impact to Obligations]])*tblRiskRegister19[[#This Row],[Expectancy Score]],"")</f>
        <v>2</v>
      </c>
      <c r="M43" s="171">
        <f>tblRiskRegister19[[#This Row],[Risk Score]]</f>
        <v>2</v>
      </c>
      <c r="N43" s="172" t="s">
        <v>269</v>
      </c>
      <c r="O43" s="29"/>
      <c r="P43" s="24" t="s">
        <v>24</v>
      </c>
      <c r="Q43" s="24" t="s">
        <v>179</v>
      </c>
      <c r="R43" s="170"/>
      <c r="S43" s="170"/>
      <c r="T43" s="174" t="str">
        <f>IFERROR(VLOOKUP(10*tblRiskRegister19[[#This Row],[Risk Treatment Safeguard Maturity Score]]+tblRiskRegister19[[#This Row],[VCDB Index]],tblHITIndexWeightTable[],4,FALSE),"")</f>
        <v/>
      </c>
      <c r="U43" s="174">
        <f>VLOOKUP(tblRiskRegister19[[#This Row],[Asset Class]],tblImpactIndex21[],2,FALSE)</f>
        <v>2</v>
      </c>
      <c r="V43" s="174">
        <f>VLOOKUP(tblRiskRegister19[[#This Row],[Asset Class]],tblImpactIndex21[],3,FALSE)</f>
        <v>2</v>
      </c>
      <c r="W43" s="174">
        <f>VLOOKUP(tblRiskRegister19[[#This Row],[Asset Class]],tblImpactIndex21[],4,FALSE)</f>
        <v>2</v>
      </c>
      <c r="X43" s="174" t="str">
        <f>IFERROR(MAX(tblRiskRegister19[[#This Row],[Risk Treatment Safeguard Impact to Mission]:[Risk Treatment Safeguard Impact to Obligations]])*tblRiskRegister19[[#This Row],[Risk Treatment
Safeguard Expectancy Score]],"")</f>
        <v/>
      </c>
      <c r="Y43" s="174" t="str">
        <f>IF(tblRiskRegister19[[#This Row],[Risk Score]]&gt;5,IF(tblRiskRegister19[[#This Row],[Risk Treatment Safeguard Risk Score]]&lt;6, IF(tblRiskRegister19[[#This Row],[Risk Treatment Safeguard Risk Score]]&lt;=tblRiskRegister19[[#This Row],[Risk Score]],"Yes","No"),"No"),"Yes")</f>
        <v>Yes</v>
      </c>
      <c r="Z43" s="175"/>
      <c r="AA43" s="175"/>
      <c r="AB43" s="176"/>
      <c r="AC43" s="149"/>
      <c r="AD43" s="177">
        <f>SUMIF(tblRiskRegister19[[#All],[Implementation Year]],"="&amp;tblCostImpacts20[[#This Row],[Year]],tblRiskRegister19[[#All],[Risk Treatment Safeguard Cost]])</f>
        <v>0</v>
      </c>
      <c r="AE43" s="162">
        <v>2030</v>
      </c>
      <c r="AF43" s="162" t="str">
        <f>IF(tblCostImpacts20[[#This Row],[Impact to Financial Objectives]]&lt;=$E$12,"Yes","No")</f>
        <v>Yes</v>
      </c>
    </row>
    <row r="44" spans="2:32" ht="25.5" x14ac:dyDescent="0.2">
      <c r="B44" s="29">
        <v>6.2</v>
      </c>
      <c r="C44" s="23" t="s">
        <v>82</v>
      </c>
      <c r="D44" s="233" t="s">
        <v>452</v>
      </c>
      <c r="E44" s="203" t="s">
        <v>147</v>
      </c>
      <c r="F44" s="170">
        <v>2</v>
      </c>
      <c r="G44" s="171">
        <f>IFERROR(VLOOKUP(tblRiskRegister19[[#This Row],[Asset Class]],tblVCDBIndex[],4,FALSE),"")</f>
        <v>1</v>
      </c>
      <c r="H44" s="171">
        <f>IFERROR(VLOOKUP(10*tblRiskRegister19[[#This Row],[Safeguard Maturity Score]]+tblRiskRegister19[[#This Row],[VCDB Index]],tblHITIndexWeightTable[],4,FALSE),"")</f>
        <v>2</v>
      </c>
      <c r="I44" s="171">
        <f>VLOOKUP(tblRiskRegister19[[#This Row],[Asset Class]],tblImpactIndex21[],2,FALSE)</f>
        <v>2</v>
      </c>
      <c r="J44" s="171">
        <f>VLOOKUP(tblRiskRegister19[[#This Row],[Asset Class]],tblImpactIndex21[],3,FALSE)</f>
        <v>2</v>
      </c>
      <c r="K44" s="171">
        <f>VLOOKUP(tblRiskRegister19[[#This Row],[Asset Class]],tblImpactIndex21[],4,FALSE)</f>
        <v>2</v>
      </c>
      <c r="L44" s="171">
        <f>IFERROR(MAX(tblRiskRegister19[[#This Row],[Impact to Mission]:[Impact to Obligations]])*tblRiskRegister19[[#This Row],[Expectancy Score]],"")</f>
        <v>4</v>
      </c>
      <c r="M44" s="171">
        <f>tblRiskRegister19[[#This Row],[Risk Score]]</f>
        <v>4</v>
      </c>
      <c r="N44" s="172" t="s">
        <v>268</v>
      </c>
      <c r="O44" s="29">
        <v>6.2</v>
      </c>
      <c r="P44" s="24" t="s">
        <v>82</v>
      </c>
      <c r="Q44" s="24" t="s">
        <v>180</v>
      </c>
      <c r="R44" s="170"/>
      <c r="S44" s="170">
        <v>2</v>
      </c>
      <c r="T44" s="174">
        <f>IFERROR(VLOOKUP(10*tblRiskRegister19[[#This Row],[Risk Treatment Safeguard Maturity Score]]+tblRiskRegister19[[#This Row],[VCDB Index]],tblHITIndexWeightTable[],4,FALSE),"")</f>
        <v>2</v>
      </c>
      <c r="U44" s="174">
        <f>VLOOKUP(tblRiskRegister19[[#This Row],[Asset Class]],tblImpactIndex21[],2,FALSE)</f>
        <v>2</v>
      </c>
      <c r="V44" s="174">
        <f>VLOOKUP(tblRiskRegister19[[#This Row],[Asset Class]],tblImpactIndex21[],3,FALSE)</f>
        <v>2</v>
      </c>
      <c r="W44" s="174">
        <f>VLOOKUP(tblRiskRegister19[[#This Row],[Asset Class]],tblImpactIndex21[],4,FALSE)</f>
        <v>2</v>
      </c>
      <c r="X44" s="174">
        <f>IFERROR(MAX(tblRiskRegister19[[#This Row],[Risk Treatment Safeguard Impact to Mission]:[Risk Treatment Safeguard Impact to Obligations]])*tblRiskRegister19[[#This Row],[Risk Treatment
Safeguard Expectancy Score]],"")</f>
        <v>4</v>
      </c>
      <c r="Y44" s="174" t="str">
        <f>IF(tblRiskRegister19[[#This Row],[Risk Score]]&gt;5,IF(tblRiskRegister19[[#This Row],[Risk Treatment Safeguard Risk Score]]&lt;6, IF(tblRiskRegister19[[#This Row],[Risk Treatment Safeguard Risk Score]]&lt;=tblRiskRegister19[[#This Row],[Risk Score]],"Yes","No"),"No"),"Yes")</f>
        <v>Yes</v>
      </c>
      <c r="Z44" s="175"/>
      <c r="AA44" s="175"/>
      <c r="AB44" s="176"/>
      <c r="AC44" s="149"/>
      <c r="AD44" s="149"/>
      <c r="AE44" s="149"/>
      <c r="AF44" s="149"/>
    </row>
    <row r="45" spans="2:32" ht="51" x14ac:dyDescent="0.2">
      <c r="B45" s="29">
        <v>7.1</v>
      </c>
      <c r="C45" s="23" t="s">
        <v>25</v>
      </c>
      <c r="D45" s="233" t="s">
        <v>451</v>
      </c>
      <c r="E45" s="203" t="s">
        <v>147</v>
      </c>
      <c r="F45" s="170">
        <v>2</v>
      </c>
      <c r="G45" s="171">
        <f>IFERROR(VLOOKUP(tblRiskRegister19[[#This Row],[Asset Class]],tblVCDBIndex[],4,FALSE),"")</f>
        <v>1</v>
      </c>
      <c r="H45" s="171">
        <f>IFERROR(VLOOKUP(10*tblRiskRegister19[[#This Row],[Safeguard Maturity Score]]+tblRiskRegister19[[#This Row],[VCDB Index]],tblHITIndexWeightTable[],4,FALSE),"")</f>
        <v>2</v>
      </c>
      <c r="I45" s="171">
        <f>VLOOKUP(tblRiskRegister19[[#This Row],[Asset Class]],tblImpactIndex21[],2,FALSE)</f>
        <v>2</v>
      </c>
      <c r="J45" s="171">
        <f>VLOOKUP(tblRiskRegister19[[#This Row],[Asset Class]],tblImpactIndex21[],3,FALSE)</f>
        <v>2</v>
      </c>
      <c r="K45" s="171">
        <f>VLOOKUP(tblRiskRegister19[[#This Row],[Asset Class]],tblImpactIndex21[],4,FALSE)</f>
        <v>2</v>
      </c>
      <c r="L45" s="171">
        <f>IFERROR(MAX(tblRiskRegister19[[#This Row],[Impact to Mission]:[Impact to Obligations]])*tblRiskRegister19[[#This Row],[Expectancy Score]],"")</f>
        <v>4</v>
      </c>
      <c r="M45" s="171">
        <f>tblRiskRegister19[[#This Row],[Risk Score]]</f>
        <v>4</v>
      </c>
      <c r="N45" s="172" t="s">
        <v>268</v>
      </c>
      <c r="O45" s="29">
        <v>7.1</v>
      </c>
      <c r="P45" s="24" t="s">
        <v>25</v>
      </c>
      <c r="Q45" s="24" t="s">
        <v>181</v>
      </c>
      <c r="R45" s="170"/>
      <c r="S45" s="170">
        <v>2</v>
      </c>
      <c r="T45" s="174">
        <f>IFERROR(VLOOKUP(10*tblRiskRegister19[[#This Row],[Risk Treatment Safeguard Maturity Score]]+tblRiskRegister19[[#This Row],[VCDB Index]],tblHITIndexWeightTable[],4,FALSE),"")</f>
        <v>2</v>
      </c>
      <c r="U45" s="174">
        <f>VLOOKUP(tblRiskRegister19[[#This Row],[Asset Class]],tblImpactIndex21[],2,FALSE)</f>
        <v>2</v>
      </c>
      <c r="V45" s="174">
        <f>VLOOKUP(tblRiskRegister19[[#This Row],[Asset Class]],tblImpactIndex21[],3,FALSE)</f>
        <v>2</v>
      </c>
      <c r="W45" s="174">
        <f>VLOOKUP(tblRiskRegister19[[#This Row],[Asset Class]],tblImpactIndex21[],4,FALSE)</f>
        <v>2</v>
      </c>
      <c r="X45" s="174">
        <f>IFERROR(MAX(tblRiskRegister19[[#This Row],[Risk Treatment Safeguard Impact to Mission]:[Risk Treatment Safeguard Impact to Obligations]])*tblRiskRegister19[[#This Row],[Risk Treatment
Safeguard Expectancy Score]],"")</f>
        <v>4</v>
      </c>
      <c r="Y45" s="174" t="str">
        <f>IF(tblRiskRegister19[[#This Row],[Risk Score]]&gt;5,IF(tblRiskRegister19[[#This Row],[Risk Treatment Safeguard Risk Score]]&lt;6, IF(tblRiskRegister19[[#This Row],[Risk Treatment Safeguard Risk Score]]&lt;=tblRiskRegister19[[#This Row],[Risk Score]],"Yes","No"),"No"),"Yes")</f>
        <v>Yes</v>
      </c>
      <c r="Z45" s="175"/>
      <c r="AA45" s="175"/>
      <c r="AB45" s="176"/>
      <c r="AC45" s="149"/>
      <c r="AD45" s="149"/>
      <c r="AE45" s="149"/>
      <c r="AF45" s="149"/>
    </row>
    <row r="46" spans="2:32" ht="25.5" x14ac:dyDescent="0.2">
      <c r="B46" s="29">
        <v>7.7</v>
      </c>
      <c r="C46" s="23" t="s">
        <v>26</v>
      </c>
      <c r="D46" s="233" t="s">
        <v>451</v>
      </c>
      <c r="E46" s="203" t="s">
        <v>147</v>
      </c>
      <c r="F46" s="170">
        <v>1</v>
      </c>
      <c r="G46" s="171">
        <f>IFERROR(VLOOKUP(tblRiskRegister19[[#This Row],[Asset Class]],tblVCDBIndex[],4,FALSE),"")</f>
        <v>1</v>
      </c>
      <c r="H46" s="171">
        <f>IFERROR(VLOOKUP(10*tblRiskRegister19[[#This Row],[Safeguard Maturity Score]]+tblRiskRegister19[[#This Row],[VCDB Index]],tblHITIndexWeightTable[],4,FALSE),"")</f>
        <v>2</v>
      </c>
      <c r="I46" s="171">
        <f>VLOOKUP(tblRiskRegister19[[#This Row],[Asset Class]],tblImpactIndex21[],2,FALSE)</f>
        <v>2</v>
      </c>
      <c r="J46" s="171">
        <f>VLOOKUP(tblRiskRegister19[[#This Row],[Asset Class]],tblImpactIndex21[],3,FALSE)</f>
        <v>2</v>
      </c>
      <c r="K46" s="171">
        <f>VLOOKUP(tblRiskRegister19[[#This Row],[Asset Class]],tblImpactIndex21[],4,FALSE)</f>
        <v>2</v>
      </c>
      <c r="L46" s="171">
        <f>IFERROR(MAX(tblRiskRegister19[[#This Row],[Impact to Mission]:[Impact to Obligations]])*tblRiskRegister19[[#This Row],[Expectancy Score]],"")</f>
        <v>4</v>
      </c>
      <c r="M46" s="171">
        <f>tblRiskRegister19[[#This Row],[Risk Score]]</f>
        <v>4</v>
      </c>
      <c r="N46" s="172" t="s">
        <v>268</v>
      </c>
      <c r="O46" s="29">
        <v>7.7</v>
      </c>
      <c r="P46" s="24" t="s">
        <v>26</v>
      </c>
      <c r="Q46" s="24" t="s">
        <v>182</v>
      </c>
      <c r="R46" s="170"/>
      <c r="S46" s="170">
        <v>1</v>
      </c>
      <c r="T46" s="174">
        <f>IFERROR(VLOOKUP(10*tblRiskRegister19[[#This Row],[Risk Treatment Safeguard Maturity Score]]+tblRiskRegister19[[#This Row],[VCDB Index]],tblHITIndexWeightTable[],4,FALSE),"")</f>
        <v>2</v>
      </c>
      <c r="U46" s="174">
        <f>VLOOKUP(tblRiskRegister19[[#This Row],[Asset Class]],tblImpactIndex21[],2,FALSE)</f>
        <v>2</v>
      </c>
      <c r="V46" s="174">
        <f>VLOOKUP(tblRiskRegister19[[#This Row],[Asset Class]],tblImpactIndex21[],3,FALSE)</f>
        <v>2</v>
      </c>
      <c r="W46" s="174">
        <f>VLOOKUP(tblRiskRegister19[[#This Row],[Asset Class]],tblImpactIndex21[],4,FALSE)</f>
        <v>2</v>
      </c>
      <c r="X46" s="174">
        <f>IFERROR(MAX(tblRiskRegister19[[#This Row],[Risk Treatment Safeguard Impact to Mission]:[Risk Treatment Safeguard Impact to Obligations]])*tblRiskRegister19[[#This Row],[Risk Treatment
Safeguard Expectancy Score]],"")</f>
        <v>4</v>
      </c>
      <c r="Y46" s="174" t="str">
        <f>IF(tblRiskRegister19[[#This Row],[Risk Score]]&gt;5,IF(tblRiskRegister19[[#This Row],[Risk Treatment Safeguard Risk Score]]&lt;6, IF(tblRiskRegister19[[#This Row],[Risk Treatment Safeguard Risk Score]]&lt;=tblRiskRegister19[[#This Row],[Risk Score]],"Yes","No"),"No"),"Yes")</f>
        <v>Yes</v>
      </c>
      <c r="Z46" s="175"/>
      <c r="AA46" s="175"/>
      <c r="AB46" s="176"/>
      <c r="AC46" s="149"/>
      <c r="AD46" s="149"/>
      <c r="AE46" s="149"/>
      <c r="AF46" s="149"/>
    </row>
    <row r="47" spans="2:32" ht="38.25" x14ac:dyDescent="0.2">
      <c r="B47" s="29">
        <v>8.1999999999999993</v>
      </c>
      <c r="C47" s="23" t="s">
        <v>83</v>
      </c>
      <c r="D47" s="233" t="s">
        <v>451</v>
      </c>
      <c r="E47" s="203" t="s">
        <v>147</v>
      </c>
      <c r="F47" s="170">
        <v>2</v>
      </c>
      <c r="G47" s="171">
        <f>IFERROR(VLOOKUP(tblRiskRegister19[[#This Row],[Asset Class]],tblVCDBIndex[],4,FALSE),"")</f>
        <v>1</v>
      </c>
      <c r="H47" s="171">
        <f>IFERROR(VLOOKUP(10*tblRiskRegister19[[#This Row],[Safeguard Maturity Score]]+tblRiskRegister19[[#This Row],[VCDB Index]],tblHITIndexWeightTable[],4,FALSE),"")</f>
        <v>2</v>
      </c>
      <c r="I47" s="171">
        <f>VLOOKUP(tblRiskRegister19[[#This Row],[Asset Class]],tblImpactIndex21[],2,FALSE)</f>
        <v>2</v>
      </c>
      <c r="J47" s="171">
        <f>VLOOKUP(tblRiskRegister19[[#This Row],[Asset Class]],tblImpactIndex21[],3,FALSE)</f>
        <v>2</v>
      </c>
      <c r="K47" s="171">
        <f>VLOOKUP(tblRiskRegister19[[#This Row],[Asset Class]],tblImpactIndex21[],4,FALSE)</f>
        <v>2</v>
      </c>
      <c r="L47" s="171">
        <f>IFERROR(MAX(tblRiskRegister19[[#This Row],[Impact to Mission]:[Impact to Obligations]])*tblRiskRegister19[[#This Row],[Expectancy Score]],"")</f>
        <v>4</v>
      </c>
      <c r="M47" s="171">
        <f>tblRiskRegister19[[#This Row],[Risk Score]]</f>
        <v>4</v>
      </c>
      <c r="N47" s="172" t="s">
        <v>268</v>
      </c>
      <c r="O47" s="29">
        <v>8.1999999999999993</v>
      </c>
      <c r="P47" s="24" t="s">
        <v>83</v>
      </c>
      <c r="Q47" s="24" t="s">
        <v>183</v>
      </c>
      <c r="R47" s="170"/>
      <c r="S47" s="170">
        <v>2</v>
      </c>
      <c r="T47" s="174">
        <f>IFERROR(VLOOKUP(10*tblRiskRegister19[[#This Row],[Risk Treatment Safeguard Maturity Score]]+tblRiskRegister19[[#This Row],[VCDB Index]],tblHITIndexWeightTable[],4,FALSE),"")</f>
        <v>2</v>
      </c>
      <c r="U47" s="174">
        <f>VLOOKUP(tblRiskRegister19[[#This Row],[Asset Class]],tblImpactIndex21[],2,FALSE)</f>
        <v>2</v>
      </c>
      <c r="V47" s="174">
        <f>VLOOKUP(tblRiskRegister19[[#This Row],[Asset Class]],tblImpactIndex21[],3,FALSE)</f>
        <v>2</v>
      </c>
      <c r="W47" s="174">
        <f>VLOOKUP(tblRiskRegister19[[#This Row],[Asset Class]],tblImpactIndex21[],4,FALSE)</f>
        <v>2</v>
      </c>
      <c r="X47" s="174">
        <f>IFERROR(MAX(tblRiskRegister19[[#This Row],[Risk Treatment Safeguard Impact to Mission]:[Risk Treatment Safeguard Impact to Obligations]])*tblRiskRegister19[[#This Row],[Risk Treatment
Safeguard Expectancy Score]],"")</f>
        <v>4</v>
      </c>
      <c r="Y47" s="174" t="str">
        <f>IF(tblRiskRegister19[[#This Row],[Risk Score]]&gt;5,IF(tblRiskRegister19[[#This Row],[Risk Treatment Safeguard Risk Score]]&lt;6, IF(tblRiskRegister19[[#This Row],[Risk Treatment Safeguard Risk Score]]&lt;=tblRiskRegister19[[#This Row],[Risk Score]],"Yes","No"),"No"),"Yes")</f>
        <v>Yes</v>
      </c>
      <c r="Z47" s="175"/>
      <c r="AA47" s="175"/>
      <c r="AB47" s="176"/>
      <c r="AC47" s="149"/>
      <c r="AD47" s="149"/>
      <c r="AE47" s="149"/>
      <c r="AF47" s="149"/>
    </row>
    <row r="48" spans="2:32" ht="38.25" x14ac:dyDescent="0.2">
      <c r="B48" s="29">
        <v>8.4</v>
      </c>
      <c r="C48" s="23" t="s">
        <v>27</v>
      </c>
      <c r="D48" s="233" t="s">
        <v>452</v>
      </c>
      <c r="E48" s="203" t="s">
        <v>147</v>
      </c>
      <c r="F48" s="170">
        <v>4</v>
      </c>
      <c r="G48" s="171">
        <f>IFERROR(VLOOKUP(tblRiskRegister19[[#This Row],[Asset Class]],tblVCDBIndex[],4,FALSE),"")</f>
        <v>1</v>
      </c>
      <c r="H48" s="171">
        <f>IFERROR(VLOOKUP(10*tblRiskRegister19[[#This Row],[Safeguard Maturity Score]]+tblRiskRegister19[[#This Row],[VCDB Index]],tblHITIndexWeightTable[],4,FALSE),"")</f>
        <v>1</v>
      </c>
      <c r="I48" s="171">
        <f>VLOOKUP(tblRiskRegister19[[#This Row],[Asset Class]],tblImpactIndex21[],2,FALSE)</f>
        <v>2</v>
      </c>
      <c r="J48" s="171">
        <f>VLOOKUP(tblRiskRegister19[[#This Row],[Asset Class]],tblImpactIndex21[],3,FALSE)</f>
        <v>2</v>
      </c>
      <c r="K48" s="171">
        <f>VLOOKUP(tblRiskRegister19[[#This Row],[Asset Class]],tblImpactIndex21[],4,FALSE)</f>
        <v>2</v>
      </c>
      <c r="L48" s="171">
        <f>IFERROR(MAX(tblRiskRegister19[[#This Row],[Impact to Mission]:[Impact to Obligations]])*tblRiskRegister19[[#This Row],[Expectancy Score]],"")</f>
        <v>2</v>
      </c>
      <c r="M48" s="171">
        <f>tblRiskRegister19[[#This Row],[Risk Score]]</f>
        <v>2</v>
      </c>
      <c r="N48" s="172" t="s">
        <v>269</v>
      </c>
      <c r="O48" s="29"/>
      <c r="P48" s="24" t="s">
        <v>27</v>
      </c>
      <c r="Q48" s="24" t="s">
        <v>184</v>
      </c>
      <c r="R48" s="170"/>
      <c r="S48" s="170"/>
      <c r="T48" s="174" t="str">
        <f>IFERROR(VLOOKUP(10*tblRiskRegister19[[#This Row],[Risk Treatment Safeguard Maturity Score]]+tblRiskRegister19[[#This Row],[VCDB Index]],tblHITIndexWeightTable[],4,FALSE),"")</f>
        <v/>
      </c>
      <c r="U48" s="174">
        <f>VLOOKUP(tblRiskRegister19[[#This Row],[Asset Class]],tblImpactIndex21[],2,FALSE)</f>
        <v>2</v>
      </c>
      <c r="V48" s="174">
        <f>VLOOKUP(tblRiskRegister19[[#This Row],[Asset Class]],tblImpactIndex21[],3,FALSE)</f>
        <v>2</v>
      </c>
      <c r="W48" s="174">
        <f>VLOOKUP(tblRiskRegister19[[#This Row],[Asset Class]],tblImpactIndex21[],4,FALSE)</f>
        <v>2</v>
      </c>
      <c r="X48" s="174" t="str">
        <f>IFERROR(MAX(tblRiskRegister19[[#This Row],[Risk Treatment Safeguard Impact to Mission]:[Risk Treatment Safeguard Impact to Obligations]])*tblRiskRegister19[[#This Row],[Risk Treatment
Safeguard Expectancy Score]],"")</f>
        <v/>
      </c>
      <c r="Y48" s="174" t="str">
        <f>IF(tblRiskRegister19[[#This Row],[Risk Score]]&gt;5,IF(tblRiskRegister19[[#This Row],[Risk Treatment Safeguard Risk Score]]&lt;6, IF(tblRiskRegister19[[#This Row],[Risk Treatment Safeguard Risk Score]]&lt;=tblRiskRegister19[[#This Row],[Risk Score]],"Yes","No"),"No"),"Yes")</f>
        <v>Yes</v>
      </c>
      <c r="Z48" s="175"/>
      <c r="AA48" s="175"/>
      <c r="AB48" s="176"/>
      <c r="AC48" s="149"/>
      <c r="AD48" s="149"/>
      <c r="AE48" s="149"/>
      <c r="AF48" s="149"/>
    </row>
    <row r="49" spans="2:32" ht="25.5" x14ac:dyDescent="0.2">
      <c r="B49" s="29">
        <v>8.5</v>
      </c>
      <c r="C49" s="23" t="s">
        <v>84</v>
      </c>
      <c r="D49" s="233" t="s">
        <v>451</v>
      </c>
      <c r="E49" s="203" t="s">
        <v>147</v>
      </c>
      <c r="F49" s="170">
        <v>3</v>
      </c>
      <c r="G49" s="171">
        <f>IFERROR(VLOOKUP(tblRiskRegister19[[#This Row],[Asset Class]],tblVCDBIndex[],4,FALSE),"")</f>
        <v>1</v>
      </c>
      <c r="H49" s="171">
        <f>IFERROR(VLOOKUP(10*tblRiskRegister19[[#This Row],[Safeguard Maturity Score]]+tblRiskRegister19[[#This Row],[VCDB Index]],tblHITIndexWeightTable[],4,FALSE),"")</f>
        <v>2</v>
      </c>
      <c r="I49" s="171">
        <f>VLOOKUP(tblRiskRegister19[[#This Row],[Asset Class]],tblImpactIndex21[],2,FALSE)</f>
        <v>2</v>
      </c>
      <c r="J49" s="171">
        <f>VLOOKUP(tblRiskRegister19[[#This Row],[Asset Class]],tblImpactIndex21[],3,FALSE)</f>
        <v>2</v>
      </c>
      <c r="K49" s="171">
        <f>VLOOKUP(tblRiskRegister19[[#This Row],[Asset Class]],tblImpactIndex21[],4,FALSE)</f>
        <v>2</v>
      </c>
      <c r="L49" s="171">
        <f>IFERROR(MAX(tblRiskRegister19[[#This Row],[Impact to Mission]:[Impact to Obligations]])*tblRiskRegister19[[#This Row],[Expectancy Score]],"")</f>
        <v>4</v>
      </c>
      <c r="M49" s="171">
        <f>tblRiskRegister19[[#This Row],[Risk Score]]</f>
        <v>4</v>
      </c>
      <c r="N49" s="172" t="s">
        <v>268</v>
      </c>
      <c r="O49" s="29">
        <v>8.5</v>
      </c>
      <c r="P49" s="24" t="s">
        <v>84</v>
      </c>
      <c r="Q49" s="24" t="s">
        <v>185</v>
      </c>
      <c r="R49" s="170"/>
      <c r="S49" s="170">
        <v>3</v>
      </c>
      <c r="T49" s="174">
        <f>IFERROR(VLOOKUP(10*tblRiskRegister19[[#This Row],[Risk Treatment Safeguard Maturity Score]]+tblRiskRegister19[[#This Row],[VCDB Index]],tblHITIndexWeightTable[],4,FALSE),"")</f>
        <v>2</v>
      </c>
      <c r="U49" s="174">
        <f>VLOOKUP(tblRiskRegister19[[#This Row],[Asset Class]],tblImpactIndex21[],2,FALSE)</f>
        <v>2</v>
      </c>
      <c r="V49" s="174">
        <f>VLOOKUP(tblRiskRegister19[[#This Row],[Asset Class]],tblImpactIndex21[],3,FALSE)</f>
        <v>2</v>
      </c>
      <c r="W49" s="174">
        <f>VLOOKUP(tblRiskRegister19[[#This Row],[Asset Class]],tblImpactIndex21[],4,FALSE)</f>
        <v>2</v>
      </c>
      <c r="X49" s="174">
        <f>IFERROR(MAX(tblRiskRegister19[[#This Row],[Risk Treatment Safeguard Impact to Mission]:[Risk Treatment Safeguard Impact to Obligations]])*tblRiskRegister19[[#This Row],[Risk Treatment
Safeguard Expectancy Score]],"")</f>
        <v>4</v>
      </c>
      <c r="Y49" s="174" t="str">
        <f>IF(tblRiskRegister19[[#This Row],[Risk Score]]&gt;5,IF(tblRiskRegister19[[#This Row],[Risk Treatment Safeguard Risk Score]]&lt;6, IF(tblRiskRegister19[[#This Row],[Risk Treatment Safeguard Risk Score]]&lt;=tblRiskRegister19[[#This Row],[Risk Score]],"Yes","No"),"No"),"Yes")</f>
        <v>Yes</v>
      </c>
      <c r="Z49" s="175"/>
      <c r="AA49" s="175"/>
      <c r="AB49" s="176"/>
      <c r="AC49" s="149"/>
      <c r="AD49" s="149"/>
      <c r="AE49" s="149"/>
      <c r="AF49" s="149"/>
    </row>
    <row r="50" spans="2:32" ht="38.25" x14ac:dyDescent="0.2">
      <c r="B50" s="29">
        <v>9.4</v>
      </c>
      <c r="C50" s="23" t="s">
        <v>85</v>
      </c>
      <c r="D50" s="233" t="s">
        <v>451</v>
      </c>
      <c r="E50" s="203" t="s">
        <v>149</v>
      </c>
      <c r="F50" s="170">
        <v>3</v>
      </c>
      <c r="G50" s="171">
        <f>IFERROR(VLOOKUP(tblRiskRegister19[[#This Row],[Asset Class]],tblVCDBIndex[],4,FALSE),"")</f>
        <v>1</v>
      </c>
      <c r="H50" s="171">
        <f>IFERROR(VLOOKUP(10*tblRiskRegister19[[#This Row],[Safeguard Maturity Score]]+tblRiskRegister19[[#This Row],[VCDB Index]],tblHITIndexWeightTable[],4,FALSE),"")</f>
        <v>2</v>
      </c>
      <c r="I50" s="171">
        <f>VLOOKUP(tblRiskRegister19[[#This Row],[Asset Class]],tblImpactIndex21[],2,FALSE)</f>
        <v>1</v>
      </c>
      <c r="J50" s="171">
        <f>VLOOKUP(tblRiskRegister19[[#This Row],[Asset Class]],tblImpactIndex21[],3,FALSE)</f>
        <v>2</v>
      </c>
      <c r="K50" s="171">
        <f>VLOOKUP(tblRiskRegister19[[#This Row],[Asset Class]],tblImpactIndex21[],4,FALSE)</f>
        <v>2</v>
      </c>
      <c r="L50" s="171">
        <f>IFERROR(MAX(tblRiskRegister19[[#This Row],[Impact to Mission]:[Impact to Obligations]])*tblRiskRegister19[[#This Row],[Expectancy Score]],"")</f>
        <v>4</v>
      </c>
      <c r="M50" s="171">
        <f>tblRiskRegister19[[#This Row],[Risk Score]]</f>
        <v>4</v>
      </c>
      <c r="N50" s="172" t="s">
        <v>268</v>
      </c>
      <c r="O50" s="29">
        <v>9.4</v>
      </c>
      <c r="P50" s="24" t="s">
        <v>85</v>
      </c>
      <c r="Q50" s="24" t="s">
        <v>186</v>
      </c>
      <c r="R50" s="170"/>
      <c r="S50" s="170">
        <v>3</v>
      </c>
      <c r="T50" s="174">
        <f>IFERROR(VLOOKUP(10*tblRiskRegister19[[#This Row],[Risk Treatment Safeguard Maturity Score]]+tblRiskRegister19[[#This Row],[VCDB Index]],tblHITIndexWeightTable[],4,FALSE),"")</f>
        <v>2</v>
      </c>
      <c r="U50" s="174">
        <f>VLOOKUP(tblRiskRegister19[[#This Row],[Asset Class]],tblImpactIndex21[],2,FALSE)</f>
        <v>1</v>
      </c>
      <c r="V50" s="174">
        <f>VLOOKUP(tblRiskRegister19[[#This Row],[Asset Class]],tblImpactIndex21[],3,FALSE)</f>
        <v>2</v>
      </c>
      <c r="W50" s="174">
        <f>VLOOKUP(tblRiskRegister19[[#This Row],[Asset Class]],tblImpactIndex21[],4,FALSE)</f>
        <v>2</v>
      </c>
      <c r="X50" s="174">
        <f>IFERROR(MAX(tblRiskRegister19[[#This Row],[Risk Treatment Safeguard Impact to Mission]:[Risk Treatment Safeguard Impact to Obligations]])*tblRiskRegister19[[#This Row],[Risk Treatment
Safeguard Expectancy Score]],"")</f>
        <v>4</v>
      </c>
      <c r="Y50" s="174" t="str">
        <f>IF(tblRiskRegister19[[#This Row],[Risk Score]]&gt;5,IF(tblRiskRegister19[[#This Row],[Risk Treatment Safeguard Risk Score]]&lt;6, IF(tblRiskRegister19[[#This Row],[Risk Treatment Safeguard Risk Score]]&lt;=tblRiskRegister19[[#This Row],[Risk Score]],"Yes","No"),"No"),"Yes")</f>
        <v>Yes</v>
      </c>
      <c r="Z50" s="175"/>
      <c r="AA50" s="175"/>
      <c r="AB50" s="176"/>
      <c r="AC50" s="149"/>
      <c r="AD50" s="149"/>
      <c r="AE50" s="149"/>
      <c r="AF50" s="149"/>
    </row>
    <row r="51" spans="2:32" ht="25.5" x14ac:dyDescent="0.2">
      <c r="B51" s="29">
        <v>10.1</v>
      </c>
      <c r="C51" s="23" t="s">
        <v>86</v>
      </c>
      <c r="D51" s="233" t="s">
        <v>451</v>
      </c>
      <c r="E51" s="203" t="s">
        <v>146</v>
      </c>
      <c r="F51" s="170">
        <v>3</v>
      </c>
      <c r="G51" s="171">
        <f>IFERROR(VLOOKUP(tblRiskRegister19[[#This Row],[Asset Class]],tblVCDBIndex[],4,FALSE),"")</f>
        <v>3</v>
      </c>
      <c r="H51" s="171">
        <f>IFERROR(VLOOKUP(10*tblRiskRegister19[[#This Row],[Safeguard Maturity Score]]+tblRiskRegister19[[#This Row],[VCDB Index]],tblHITIndexWeightTable[],4,FALSE),"")</f>
        <v>2</v>
      </c>
      <c r="I51" s="171">
        <f>VLOOKUP(tblRiskRegister19[[#This Row],[Asset Class]],tblImpactIndex21[],2,FALSE)</f>
        <v>2</v>
      </c>
      <c r="J51" s="171">
        <f>VLOOKUP(tblRiskRegister19[[#This Row],[Asset Class]],tblImpactIndex21[],3,FALSE)</f>
        <v>2</v>
      </c>
      <c r="K51" s="171">
        <f>VLOOKUP(tblRiskRegister19[[#This Row],[Asset Class]],tblImpactIndex21[],4,FALSE)</f>
        <v>3</v>
      </c>
      <c r="L51" s="171">
        <f>IFERROR(MAX(tblRiskRegister19[[#This Row],[Impact to Mission]:[Impact to Obligations]])*tblRiskRegister19[[#This Row],[Expectancy Score]],"")</f>
        <v>6</v>
      </c>
      <c r="M51" s="171">
        <f>tblRiskRegister19[[#This Row],[Risk Score]]</f>
        <v>6</v>
      </c>
      <c r="N51" s="172" t="s">
        <v>268</v>
      </c>
      <c r="O51" s="29">
        <v>10.1</v>
      </c>
      <c r="P51" s="24" t="s">
        <v>86</v>
      </c>
      <c r="Q51" s="24" t="s">
        <v>388</v>
      </c>
      <c r="R51" s="170"/>
      <c r="S51" s="170">
        <v>3</v>
      </c>
      <c r="T51" s="174">
        <f>IFERROR(VLOOKUP(10*tblRiskRegister19[[#This Row],[Risk Treatment Safeguard Maturity Score]]+tblRiskRegister19[[#This Row],[VCDB Index]],tblHITIndexWeightTable[],4,FALSE),"")</f>
        <v>2</v>
      </c>
      <c r="U51" s="174">
        <f>VLOOKUP(tblRiskRegister19[[#This Row],[Asset Class]],tblImpactIndex21[],2,FALSE)</f>
        <v>2</v>
      </c>
      <c r="V51" s="174">
        <f>VLOOKUP(tblRiskRegister19[[#This Row],[Asset Class]],tblImpactIndex21[],3,FALSE)</f>
        <v>2</v>
      </c>
      <c r="W51" s="174">
        <f>VLOOKUP(tblRiskRegister19[[#This Row],[Asset Class]],tblImpactIndex21[],4,FALSE)</f>
        <v>3</v>
      </c>
      <c r="X51" s="174">
        <f>IFERROR(MAX(tblRiskRegister19[[#This Row],[Risk Treatment Safeguard Impact to Mission]:[Risk Treatment Safeguard Impact to Obligations]])*tblRiskRegister19[[#This Row],[Risk Treatment
Safeguard Expectancy Score]],"")</f>
        <v>6</v>
      </c>
      <c r="Y51" s="174" t="str">
        <f>IF(tblRiskRegister19[[#This Row],[Risk Score]]&gt;5,IF(tblRiskRegister19[[#This Row],[Risk Treatment Safeguard Risk Score]]&lt;6, IF(tblRiskRegister19[[#This Row],[Risk Treatment Safeguard Risk Score]]&lt;=tblRiskRegister19[[#This Row],[Risk Score]],"Yes","No"),"No"),"Yes")</f>
        <v>No</v>
      </c>
      <c r="Z51" s="175"/>
      <c r="AA51" s="175"/>
      <c r="AB51" s="176"/>
      <c r="AC51" s="149"/>
      <c r="AD51" s="149"/>
      <c r="AE51" s="149"/>
      <c r="AF51" s="149"/>
    </row>
    <row r="52" spans="2:32" ht="51" x14ac:dyDescent="0.2">
      <c r="B52" s="29">
        <v>10.199999999999999</v>
      </c>
      <c r="C52" s="23" t="s">
        <v>28</v>
      </c>
      <c r="D52" s="233" t="s">
        <v>451</v>
      </c>
      <c r="E52" s="203" t="s">
        <v>146</v>
      </c>
      <c r="F52" s="170">
        <v>1</v>
      </c>
      <c r="G52" s="171">
        <f>IFERROR(VLOOKUP(tblRiskRegister19[[#This Row],[Asset Class]],tblVCDBIndex[],4,FALSE),"")</f>
        <v>3</v>
      </c>
      <c r="H52" s="171">
        <f>IFERROR(VLOOKUP(10*tblRiskRegister19[[#This Row],[Safeguard Maturity Score]]+tblRiskRegister19[[#This Row],[VCDB Index]],tblHITIndexWeightTable[],4,FALSE),"")</f>
        <v>3</v>
      </c>
      <c r="I52" s="171">
        <f>VLOOKUP(tblRiskRegister19[[#This Row],[Asset Class]],tblImpactIndex21[],2,FALSE)</f>
        <v>2</v>
      </c>
      <c r="J52" s="171">
        <f>VLOOKUP(tblRiskRegister19[[#This Row],[Asset Class]],tblImpactIndex21[],3,FALSE)</f>
        <v>2</v>
      </c>
      <c r="K52" s="171">
        <f>VLOOKUP(tblRiskRegister19[[#This Row],[Asset Class]],tblImpactIndex21[],4,FALSE)</f>
        <v>3</v>
      </c>
      <c r="L52" s="171">
        <f>IFERROR(MAX(tblRiskRegister19[[#This Row],[Impact to Mission]:[Impact to Obligations]])*tblRiskRegister19[[#This Row],[Expectancy Score]],"")</f>
        <v>9</v>
      </c>
      <c r="M52" s="171">
        <f>tblRiskRegister19[[#This Row],[Risk Score]]</f>
        <v>9</v>
      </c>
      <c r="N52" s="172" t="s">
        <v>268</v>
      </c>
      <c r="O52" s="29">
        <v>10.199999999999999</v>
      </c>
      <c r="P52" s="24" t="s">
        <v>28</v>
      </c>
      <c r="Q52" s="24" t="s">
        <v>187</v>
      </c>
      <c r="R52" s="170"/>
      <c r="S52" s="170">
        <v>1</v>
      </c>
      <c r="T52" s="174">
        <f>IFERROR(VLOOKUP(10*tblRiskRegister19[[#This Row],[Risk Treatment Safeguard Maturity Score]]+tblRiskRegister19[[#This Row],[VCDB Index]],tblHITIndexWeightTable[],4,FALSE),"")</f>
        <v>3</v>
      </c>
      <c r="U52" s="174">
        <f>VLOOKUP(tblRiskRegister19[[#This Row],[Asset Class]],tblImpactIndex21[],2,FALSE)</f>
        <v>2</v>
      </c>
      <c r="V52" s="174">
        <f>VLOOKUP(tblRiskRegister19[[#This Row],[Asset Class]],tblImpactIndex21[],3,FALSE)</f>
        <v>2</v>
      </c>
      <c r="W52" s="174">
        <f>VLOOKUP(tblRiskRegister19[[#This Row],[Asset Class]],tblImpactIndex21[],4,FALSE)</f>
        <v>3</v>
      </c>
      <c r="X52" s="174">
        <f>IFERROR(MAX(tblRiskRegister19[[#This Row],[Risk Treatment Safeguard Impact to Mission]:[Risk Treatment Safeguard Impact to Obligations]])*tblRiskRegister19[[#This Row],[Risk Treatment
Safeguard Expectancy Score]],"")</f>
        <v>9</v>
      </c>
      <c r="Y52" s="174" t="str">
        <f>IF(tblRiskRegister19[[#This Row],[Risk Score]]&gt;5,IF(tblRiskRegister19[[#This Row],[Risk Treatment Safeguard Risk Score]]&lt;6, IF(tblRiskRegister19[[#This Row],[Risk Treatment Safeguard Risk Score]]&lt;=tblRiskRegister19[[#This Row],[Risk Score]],"Yes","No"),"No"),"Yes")</f>
        <v>No</v>
      </c>
      <c r="Z52" s="175"/>
      <c r="AA52" s="175"/>
      <c r="AB52" s="176"/>
      <c r="AC52" s="149"/>
      <c r="AD52" s="149"/>
      <c r="AE52" s="149"/>
      <c r="AF52" s="149"/>
    </row>
    <row r="53" spans="2:32" ht="51" x14ac:dyDescent="0.2">
      <c r="B53" s="29">
        <v>10.4</v>
      </c>
      <c r="C53" s="23" t="s">
        <v>87</v>
      </c>
      <c r="D53" s="233" t="s">
        <v>451</v>
      </c>
      <c r="E53" s="203" t="s">
        <v>146</v>
      </c>
      <c r="F53" s="170">
        <v>1</v>
      </c>
      <c r="G53" s="171">
        <f>IFERROR(VLOOKUP(tblRiskRegister19[[#This Row],[Asset Class]],tblVCDBIndex[],4,FALSE),"")</f>
        <v>3</v>
      </c>
      <c r="H53" s="171">
        <f>IFERROR(VLOOKUP(10*tblRiskRegister19[[#This Row],[Safeguard Maturity Score]]+tblRiskRegister19[[#This Row],[VCDB Index]],tblHITIndexWeightTable[],4,FALSE),"")</f>
        <v>3</v>
      </c>
      <c r="I53" s="171">
        <f>VLOOKUP(tblRiskRegister19[[#This Row],[Asset Class]],tblImpactIndex21[],2,FALSE)</f>
        <v>2</v>
      </c>
      <c r="J53" s="171">
        <f>VLOOKUP(tblRiskRegister19[[#This Row],[Asset Class]],tblImpactIndex21[],3,FALSE)</f>
        <v>2</v>
      </c>
      <c r="K53" s="171">
        <f>VLOOKUP(tblRiskRegister19[[#This Row],[Asset Class]],tblImpactIndex21[],4,FALSE)</f>
        <v>3</v>
      </c>
      <c r="L53" s="171">
        <f>IFERROR(MAX(tblRiskRegister19[[#This Row],[Impact to Mission]:[Impact to Obligations]])*tblRiskRegister19[[#This Row],[Expectancy Score]],"")</f>
        <v>9</v>
      </c>
      <c r="M53" s="171">
        <f>tblRiskRegister19[[#This Row],[Risk Score]]</f>
        <v>9</v>
      </c>
      <c r="N53" s="172" t="s">
        <v>268</v>
      </c>
      <c r="O53" s="29">
        <v>10.4</v>
      </c>
      <c r="P53" s="24" t="s">
        <v>87</v>
      </c>
      <c r="Q53" s="24" t="s">
        <v>188</v>
      </c>
      <c r="R53" s="170"/>
      <c r="S53" s="170">
        <v>1</v>
      </c>
      <c r="T53" s="174">
        <f>IFERROR(VLOOKUP(10*tblRiskRegister19[[#This Row],[Risk Treatment Safeguard Maturity Score]]+tblRiskRegister19[[#This Row],[VCDB Index]],tblHITIndexWeightTable[],4,FALSE),"")</f>
        <v>3</v>
      </c>
      <c r="U53" s="174">
        <f>VLOOKUP(tblRiskRegister19[[#This Row],[Asset Class]],tblImpactIndex21[],2,FALSE)</f>
        <v>2</v>
      </c>
      <c r="V53" s="174">
        <f>VLOOKUP(tblRiskRegister19[[#This Row],[Asset Class]],tblImpactIndex21[],3,FALSE)</f>
        <v>2</v>
      </c>
      <c r="W53" s="174">
        <f>VLOOKUP(tblRiskRegister19[[#This Row],[Asset Class]],tblImpactIndex21[],4,FALSE)</f>
        <v>3</v>
      </c>
      <c r="X53" s="174">
        <f>IFERROR(MAX(tblRiskRegister19[[#This Row],[Risk Treatment Safeguard Impact to Mission]:[Risk Treatment Safeguard Impact to Obligations]])*tblRiskRegister19[[#This Row],[Risk Treatment
Safeguard Expectancy Score]],"")</f>
        <v>9</v>
      </c>
      <c r="Y53" s="174" t="str">
        <f>IF(tblRiskRegister19[[#This Row],[Risk Score]]&gt;5,IF(tblRiskRegister19[[#This Row],[Risk Treatment Safeguard Risk Score]]&lt;6, IF(tblRiskRegister19[[#This Row],[Risk Treatment Safeguard Risk Score]]&lt;=tblRiskRegister19[[#This Row],[Risk Score]],"Yes","No"),"No"),"Yes")</f>
        <v>No</v>
      </c>
      <c r="Z53" s="175"/>
      <c r="AA53" s="175"/>
      <c r="AB53" s="176"/>
      <c r="AC53" s="149"/>
      <c r="AD53" s="149"/>
      <c r="AE53" s="149"/>
      <c r="AF53" s="149"/>
    </row>
    <row r="54" spans="2:32" ht="51" x14ac:dyDescent="0.2">
      <c r="B54" s="29">
        <v>10.5</v>
      </c>
      <c r="C54" s="23" t="s">
        <v>88</v>
      </c>
      <c r="D54" s="233" t="s">
        <v>451</v>
      </c>
      <c r="E54" s="203" t="s">
        <v>146</v>
      </c>
      <c r="F54" s="170">
        <v>2</v>
      </c>
      <c r="G54" s="171">
        <f>IFERROR(VLOOKUP(tblRiskRegister19[[#This Row],[Asset Class]],tblVCDBIndex[],4,FALSE),"")</f>
        <v>3</v>
      </c>
      <c r="H54" s="171">
        <f>IFERROR(VLOOKUP(10*tblRiskRegister19[[#This Row],[Safeguard Maturity Score]]+tblRiskRegister19[[#This Row],[VCDB Index]],tblHITIndexWeightTable[],4,FALSE),"")</f>
        <v>2</v>
      </c>
      <c r="I54" s="171">
        <f>VLOOKUP(tblRiskRegister19[[#This Row],[Asset Class]],tblImpactIndex21[],2,FALSE)</f>
        <v>2</v>
      </c>
      <c r="J54" s="171">
        <f>VLOOKUP(tblRiskRegister19[[#This Row],[Asset Class]],tblImpactIndex21[],3,FALSE)</f>
        <v>2</v>
      </c>
      <c r="K54" s="171">
        <f>VLOOKUP(tblRiskRegister19[[#This Row],[Asset Class]],tblImpactIndex21[],4,FALSE)</f>
        <v>3</v>
      </c>
      <c r="L54" s="171">
        <f>IFERROR(MAX(tblRiskRegister19[[#This Row],[Impact to Mission]:[Impact to Obligations]])*tblRiskRegister19[[#This Row],[Expectancy Score]],"")</f>
        <v>6</v>
      </c>
      <c r="M54" s="171">
        <f>tblRiskRegister19[[#This Row],[Risk Score]]</f>
        <v>6</v>
      </c>
      <c r="N54" s="172" t="s">
        <v>268</v>
      </c>
      <c r="O54" s="29">
        <v>10.5</v>
      </c>
      <c r="P54" s="24" t="s">
        <v>88</v>
      </c>
      <c r="Q54" s="24" t="s">
        <v>189</v>
      </c>
      <c r="R54" s="170"/>
      <c r="S54" s="170">
        <v>2</v>
      </c>
      <c r="T54" s="174">
        <f>IFERROR(VLOOKUP(10*tblRiskRegister19[[#This Row],[Risk Treatment Safeguard Maturity Score]]+tblRiskRegister19[[#This Row],[VCDB Index]],tblHITIndexWeightTable[],4,FALSE),"")</f>
        <v>2</v>
      </c>
      <c r="U54" s="174">
        <f>VLOOKUP(tblRiskRegister19[[#This Row],[Asset Class]],tblImpactIndex21[],2,FALSE)</f>
        <v>2</v>
      </c>
      <c r="V54" s="174">
        <f>VLOOKUP(tblRiskRegister19[[#This Row],[Asset Class]],tblImpactIndex21[],3,FALSE)</f>
        <v>2</v>
      </c>
      <c r="W54" s="174">
        <f>VLOOKUP(tblRiskRegister19[[#This Row],[Asset Class]],tblImpactIndex21[],4,FALSE)</f>
        <v>3</v>
      </c>
      <c r="X54" s="174">
        <f>IFERROR(MAX(tblRiskRegister19[[#This Row],[Risk Treatment Safeguard Impact to Mission]:[Risk Treatment Safeguard Impact to Obligations]])*tblRiskRegister19[[#This Row],[Risk Treatment
Safeguard Expectancy Score]],"")</f>
        <v>6</v>
      </c>
      <c r="Y54" s="174" t="str">
        <f>IF(tblRiskRegister19[[#This Row],[Risk Score]]&gt;5,IF(tblRiskRegister19[[#This Row],[Risk Treatment Safeguard Risk Score]]&lt;6, IF(tblRiskRegister19[[#This Row],[Risk Treatment Safeguard Risk Score]]&lt;=tblRiskRegister19[[#This Row],[Risk Score]],"Yes","No"),"No"),"Yes")</f>
        <v>No</v>
      </c>
      <c r="Z54" s="175"/>
      <c r="AA54" s="175"/>
      <c r="AB54" s="176"/>
      <c r="AC54" s="149"/>
      <c r="AD54" s="149"/>
      <c r="AE54" s="149"/>
      <c r="AF54" s="149"/>
    </row>
    <row r="55" spans="2:32" ht="51" x14ac:dyDescent="0.2">
      <c r="B55" s="29">
        <v>11.4</v>
      </c>
      <c r="C55" s="23" t="s">
        <v>89</v>
      </c>
      <c r="D55" s="233" t="s">
        <v>451</v>
      </c>
      <c r="E55" s="203" t="s">
        <v>149</v>
      </c>
      <c r="F55" s="170">
        <v>4</v>
      </c>
      <c r="G55" s="171">
        <f>IFERROR(VLOOKUP(tblRiskRegister19[[#This Row],[Asset Class]],tblVCDBIndex[],4,FALSE),"")</f>
        <v>1</v>
      </c>
      <c r="H55" s="171">
        <f>IFERROR(VLOOKUP(10*tblRiskRegister19[[#This Row],[Safeguard Maturity Score]]+tblRiskRegister19[[#This Row],[VCDB Index]],tblHITIndexWeightTable[],4,FALSE),"")</f>
        <v>1</v>
      </c>
      <c r="I55" s="171">
        <f>VLOOKUP(tblRiskRegister19[[#This Row],[Asset Class]],tblImpactIndex21[],2,FALSE)</f>
        <v>1</v>
      </c>
      <c r="J55" s="171">
        <f>VLOOKUP(tblRiskRegister19[[#This Row],[Asset Class]],tblImpactIndex21[],3,FALSE)</f>
        <v>2</v>
      </c>
      <c r="K55" s="171">
        <f>VLOOKUP(tblRiskRegister19[[#This Row],[Asset Class]],tblImpactIndex21[],4,FALSE)</f>
        <v>2</v>
      </c>
      <c r="L55" s="171">
        <f>IFERROR(MAX(tblRiskRegister19[[#This Row],[Impact to Mission]:[Impact to Obligations]])*tblRiskRegister19[[#This Row],[Expectancy Score]],"")</f>
        <v>2</v>
      </c>
      <c r="M55" s="171">
        <f>tblRiskRegister19[[#This Row],[Risk Score]]</f>
        <v>2</v>
      </c>
      <c r="N55" s="172" t="s">
        <v>269</v>
      </c>
      <c r="O55" s="29"/>
      <c r="P55" s="24" t="s">
        <v>89</v>
      </c>
      <c r="Q55" s="24" t="s">
        <v>190</v>
      </c>
      <c r="R55" s="170"/>
      <c r="S55" s="170"/>
      <c r="T55" s="174" t="str">
        <f>IFERROR(VLOOKUP(10*tblRiskRegister19[[#This Row],[Risk Treatment Safeguard Maturity Score]]+tblRiskRegister19[[#This Row],[VCDB Index]],tblHITIndexWeightTable[],4,FALSE),"")</f>
        <v/>
      </c>
      <c r="U55" s="174">
        <f>VLOOKUP(tblRiskRegister19[[#This Row],[Asset Class]],tblImpactIndex21[],2,FALSE)</f>
        <v>1</v>
      </c>
      <c r="V55" s="174">
        <f>VLOOKUP(tblRiskRegister19[[#This Row],[Asset Class]],tblImpactIndex21[],3,FALSE)</f>
        <v>2</v>
      </c>
      <c r="W55" s="174">
        <f>VLOOKUP(tblRiskRegister19[[#This Row],[Asset Class]],tblImpactIndex21[],4,FALSE)</f>
        <v>2</v>
      </c>
      <c r="X55" s="174" t="str">
        <f>IFERROR(MAX(tblRiskRegister19[[#This Row],[Risk Treatment Safeguard Impact to Mission]:[Risk Treatment Safeguard Impact to Obligations]])*tblRiskRegister19[[#This Row],[Risk Treatment
Safeguard Expectancy Score]],"")</f>
        <v/>
      </c>
      <c r="Y55" s="174" t="str">
        <f>IF(tblRiskRegister19[[#This Row],[Risk Score]]&gt;5,IF(tblRiskRegister19[[#This Row],[Risk Treatment Safeguard Risk Score]]&lt;6, IF(tblRiskRegister19[[#This Row],[Risk Treatment Safeguard Risk Score]]&lt;=tblRiskRegister19[[#This Row],[Risk Score]],"Yes","No"),"No"),"Yes")</f>
        <v>Yes</v>
      </c>
      <c r="Z55" s="175"/>
      <c r="AA55" s="175"/>
      <c r="AB55" s="176"/>
      <c r="AC55" s="149"/>
      <c r="AD55" s="149"/>
      <c r="AE55" s="149"/>
      <c r="AF55" s="149"/>
    </row>
    <row r="56" spans="2:32" ht="25.5" x14ac:dyDescent="0.2">
      <c r="B56" s="29">
        <v>12.1</v>
      </c>
      <c r="C56" s="23" t="s">
        <v>29</v>
      </c>
      <c r="D56" s="233" t="s">
        <v>449</v>
      </c>
      <c r="E56" s="203" t="s">
        <v>149</v>
      </c>
      <c r="F56" s="170">
        <v>1</v>
      </c>
      <c r="G56" s="171">
        <f>IFERROR(VLOOKUP(tblRiskRegister19[[#This Row],[Asset Class]],tblVCDBIndex[],4,FALSE),"")</f>
        <v>1</v>
      </c>
      <c r="H56" s="171">
        <f>IFERROR(VLOOKUP(10*tblRiskRegister19[[#This Row],[Safeguard Maturity Score]]+tblRiskRegister19[[#This Row],[VCDB Index]],tblHITIndexWeightTable[],4,FALSE),"")</f>
        <v>2</v>
      </c>
      <c r="I56" s="171">
        <f>VLOOKUP(tblRiskRegister19[[#This Row],[Asset Class]],tblImpactIndex21[],2,FALSE)</f>
        <v>1</v>
      </c>
      <c r="J56" s="171">
        <f>VLOOKUP(tblRiskRegister19[[#This Row],[Asset Class]],tblImpactIndex21[],3,FALSE)</f>
        <v>2</v>
      </c>
      <c r="K56" s="171">
        <f>VLOOKUP(tblRiskRegister19[[#This Row],[Asset Class]],tblImpactIndex21[],4,FALSE)</f>
        <v>2</v>
      </c>
      <c r="L56" s="171">
        <f>IFERROR(MAX(tblRiskRegister19[[#This Row],[Impact to Mission]:[Impact to Obligations]])*tblRiskRegister19[[#This Row],[Expectancy Score]],"")</f>
        <v>4</v>
      </c>
      <c r="M56" s="171">
        <f>tblRiskRegister19[[#This Row],[Risk Score]]</f>
        <v>4</v>
      </c>
      <c r="N56" s="172" t="s">
        <v>268</v>
      </c>
      <c r="O56" s="29">
        <v>12.1</v>
      </c>
      <c r="P56" s="24" t="s">
        <v>29</v>
      </c>
      <c r="Q56" s="24" t="s">
        <v>191</v>
      </c>
      <c r="R56" s="170"/>
      <c r="S56" s="170">
        <v>1</v>
      </c>
      <c r="T56" s="174">
        <f>IFERROR(VLOOKUP(10*tblRiskRegister19[[#This Row],[Risk Treatment Safeguard Maturity Score]]+tblRiskRegister19[[#This Row],[VCDB Index]],tblHITIndexWeightTable[],4,FALSE),"")</f>
        <v>2</v>
      </c>
      <c r="U56" s="174">
        <f>VLOOKUP(tblRiskRegister19[[#This Row],[Asset Class]],tblImpactIndex21[],2,FALSE)</f>
        <v>1</v>
      </c>
      <c r="V56" s="174">
        <f>VLOOKUP(tblRiskRegister19[[#This Row],[Asset Class]],tblImpactIndex21[],3,FALSE)</f>
        <v>2</v>
      </c>
      <c r="W56" s="174">
        <f>VLOOKUP(tblRiskRegister19[[#This Row],[Asset Class]],tblImpactIndex21[],4,FALSE)</f>
        <v>2</v>
      </c>
      <c r="X56" s="174">
        <f>IFERROR(MAX(tblRiskRegister19[[#This Row],[Risk Treatment Safeguard Impact to Mission]:[Risk Treatment Safeguard Impact to Obligations]])*tblRiskRegister19[[#This Row],[Risk Treatment
Safeguard Expectancy Score]],"")</f>
        <v>4</v>
      </c>
      <c r="Y56" s="174" t="str">
        <f>IF(tblRiskRegister19[[#This Row],[Risk Score]]&gt;5,IF(tblRiskRegister19[[#This Row],[Risk Treatment Safeguard Risk Score]]&lt;6, IF(tblRiskRegister19[[#This Row],[Risk Treatment Safeguard Risk Score]]&lt;=tblRiskRegister19[[#This Row],[Risk Score]],"Yes","No"),"No"),"Yes")</f>
        <v>Yes</v>
      </c>
      <c r="Z56" s="175"/>
      <c r="AA56" s="175"/>
      <c r="AB56" s="176"/>
      <c r="AC56" s="149"/>
      <c r="AD56" s="149"/>
      <c r="AE56" s="149"/>
      <c r="AF56" s="149"/>
    </row>
    <row r="57" spans="2:32" ht="51" x14ac:dyDescent="0.2">
      <c r="B57" s="29">
        <v>12.4</v>
      </c>
      <c r="C57" s="23" t="s">
        <v>90</v>
      </c>
      <c r="D57" s="233" t="s">
        <v>451</v>
      </c>
      <c r="E57" s="203" t="s">
        <v>149</v>
      </c>
      <c r="F57" s="170">
        <v>1</v>
      </c>
      <c r="G57" s="171">
        <f>IFERROR(VLOOKUP(tblRiskRegister19[[#This Row],[Asset Class]],tblVCDBIndex[],4,FALSE),"")</f>
        <v>1</v>
      </c>
      <c r="H57" s="171">
        <f>IFERROR(VLOOKUP(10*tblRiskRegister19[[#This Row],[Safeguard Maturity Score]]+tblRiskRegister19[[#This Row],[VCDB Index]],tblHITIndexWeightTable[],4,FALSE),"")</f>
        <v>2</v>
      </c>
      <c r="I57" s="171">
        <f>VLOOKUP(tblRiskRegister19[[#This Row],[Asset Class]],tblImpactIndex21[],2,FALSE)</f>
        <v>1</v>
      </c>
      <c r="J57" s="171">
        <f>VLOOKUP(tblRiskRegister19[[#This Row],[Asset Class]],tblImpactIndex21[],3,FALSE)</f>
        <v>2</v>
      </c>
      <c r="K57" s="171">
        <f>VLOOKUP(tblRiskRegister19[[#This Row],[Asset Class]],tblImpactIndex21[],4,FALSE)</f>
        <v>2</v>
      </c>
      <c r="L57" s="171">
        <f>IFERROR(MAX(tblRiskRegister19[[#This Row],[Impact to Mission]:[Impact to Obligations]])*tblRiskRegister19[[#This Row],[Expectancy Score]],"")</f>
        <v>4</v>
      </c>
      <c r="M57" s="171">
        <f>tblRiskRegister19[[#This Row],[Risk Score]]</f>
        <v>4</v>
      </c>
      <c r="N57" s="172" t="s">
        <v>268</v>
      </c>
      <c r="O57" s="29">
        <v>12.4</v>
      </c>
      <c r="P57" s="24" t="s">
        <v>90</v>
      </c>
      <c r="Q57" s="24" t="s">
        <v>192</v>
      </c>
      <c r="R57" s="170"/>
      <c r="S57" s="170">
        <v>1</v>
      </c>
      <c r="T57" s="174">
        <f>IFERROR(VLOOKUP(10*tblRiskRegister19[[#This Row],[Risk Treatment Safeguard Maturity Score]]+tblRiskRegister19[[#This Row],[VCDB Index]],tblHITIndexWeightTable[],4,FALSE),"")</f>
        <v>2</v>
      </c>
      <c r="U57" s="174">
        <f>VLOOKUP(tblRiskRegister19[[#This Row],[Asset Class]],tblImpactIndex21[],2,FALSE)</f>
        <v>1</v>
      </c>
      <c r="V57" s="174">
        <f>VLOOKUP(tblRiskRegister19[[#This Row],[Asset Class]],tblImpactIndex21[],3,FALSE)</f>
        <v>2</v>
      </c>
      <c r="W57" s="174">
        <f>VLOOKUP(tblRiskRegister19[[#This Row],[Asset Class]],tblImpactIndex21[],4,FALSE)</f>
        <v>2</v>
      </c>
      <c r="X57" s="174">
        <f>IFERROR(MAX(tblRiskRegister19[[#This Row],[Risk Treatment Safeguard Impact to Mission]:[Risk Treatment Safeguard Impact to Obligations]])*tblRiskRegister19[[#This Row],[Risk Treatment
Safeguard Expectancy Score]],"")</f>
        <v>4</v>
      </c>
      <c r="Y57" s="174" t="str">
        <f>IF(tblRiskRegister19[[#This Row],[Risk Score]]&gt;5,IF(tblRiskRegister19[[#This Row],[Risk Treatment Safeguard Risk Score]]&lt;6, IF(tblRiskRegister19[[#This Row],[Risk Treatment Safeguard Risk Score]]&lt;=tblRiskRegister19[[#This Row],[Risk Score]],"Yes","No"),"No"),"Yes")</f>
        <v>Yes</v>
      </c>
      <c r="Z57" s="175"/>
      <c r="AA57" s="175"/>
      <c r="AB57" s="176"/>
      <c r="AC57" s="149"/>
      <c r="AD57" s="149"/>
      <c r="AE57" s="149"/>
      <c r="AF57" s="149"/>
    </row>
    <row r="58" spans="2:32" ht="51" x14ac:dyDescent="0.2">
      <c r="B58" s="29">
        <v>13.1</v>
      </c>
      <c r="C58" s="23" t="s">
        <v>91</v>
      </c>
      <c r="D58" s="233" t="s">
        <v>449</v>
      </c>
      <c r="E58" s="203" t="s">
        <v>146</v>
      </c>
      <c r="F58" s="170">
        <v>1</v>
      </c>
      <c r="G58" s="171">
        <f>IFERROR(VLOOKUP(tblRiskRegister19[[#This Row],[Asset Class]],tblVCDBIndex[],4,FALSE),"")</f>
        <v>3</v>
      </c>
      <c r="H58" s="171">
        <f>IFERROR(VLOOKUP(10*tblRiskRegister19[[#This Row],[Safeguard Maturity Score]]+tblRiskRegister19[[#This Row],[VCDB Index]],tblHITIndexWeightTable[],4,FALSE),"")</f>
        <v>3</v>
      </c>
      <c r="I58" s="171">
        <f>VLOOKUP(tblRiskRegister19[[#This Row],[Asset Class]],tblImpactIndex21[],2,FALSE)</f>
        <v>2</v>
      </c>
      <c r="J58" s="171">
        <f>VLOOKUP(tblRiskRegister19[[#This Row],[Asset Class]],tblImpactIndex21[],3,FALSE)</f>
        <v>2</v>
      </c>
      <c r="K58" s="171">
        <f>VLOOKUP(tblRiskRegister19[[#This Row],[Asset Class]],tblImpactIndex21[],4,FALSE)</f>
        <v>3</v>
      </c>
      <c r="L58" s="171">
        <f>IFERROR(MAX(tblRiskRegister19[[#This Row],[Impact to Mission]:[Impact to Obligations]])*tblRiskRegister19[[#This Row],[Expectancy Score]],"")</f>
        <v>9</v>
      </c>
      <c r="M58" s="171">
        <f>tblRiskRegister19[[#This Row],[Risk Score]]</f>
        <v>9</v>
      </c>
      <c r="N58" s="172" t="s">
        <v>268</v>
      </c>
      <c r="O58" s="29">
        <v>13.1</v>
      </c>
      <c r="P58" s="24" t="s">
        <v>91</v>
      </c>
      <c r="Q58" s="24" t="s">
        <v>193</v>
      </c>
      <c r="R58" s="170"/>
      <c r="S58" s="170">
        <v>1</v>
      </c>
      <c r="T58" s="174">
        <f>IFERROR(VLOOKUP(10*tblRiskRegister19[[#This Row],[Risk Treatment Safeguard Maturity Score]]+tblRiskRegister19[[#This Row],[VCDB Index]],tblHITIndexWeightTable[],4,FALSE),"")</f>
        <v>3</v>
      </c>
      <c r="U58" s="174">
        <f>VLOOKUP(tblRiskRegister19[[#This Row],[Asset Class]],tblImpactIndex21[],2,FALSE)</f>
        <v>2</v>
      </c>
      <c r="V58" s="174">
        <f>VLOOKUP(tblRiskRegister19[[#This Row],[Asset Class]],tblImpactIndex21[],3,FALSE)</f>
        <v>2</v>
      </c>
      <c r="W58" s="174">
        <f>VLOOKUP(tblRiskRegister19[[#This Row],[Asset Class]],tblImpactIndex21[],4,FALSE)</f>
        <v>3</v>
      </c>
      <c r="X58" s="174">
        <f>IFERROR(MAX(tblRiskRegister19[[#This Row],[Risk Treatment Safeguard Impact to Mission]:[Risk Treatment Safeguard Impact to Obligations]])*tblRiskRegister19[[#This Row],[Risk Treatment
Safeguard Expectancy Score]],"")</f>
        <v>9</v>
      </c>
      <c r="Y58" s="174" t="str">
        <f>IF(tblRiskRegister19[[#This Row],[Risk Score]]&gt;5,IF(tblRiskRegister19[[#This Row],[Risk Treatment Safeguard Risk Score]]&lt;6, IF(tblRiskRegister19[[#This Row],[Risk Treatment Safeguard Risk Score]]&lt;=tblRiskRegister19[[#This Row],[Risk Score]],"Yes","No"),"No"),"Yes")</f>
        <v>No</v>
      </c>
      <c r="Z58" s="175"/>
      <c r="AA58" s="175"/>
      <c r="AB58" s="176"/>
      <c r="AC58" s="149"/>
      <c r="AD58" s="149"/>
      <c r="AE58" s="149"/>
      <c r="AF58" s="149"/>
    </row>
    <row r="59" spans="2:32" ht="76.5" x14ac:dyDescent="0.2">
      <c r="B59" s="29">
        <v>13.2</v>
      </c>
      <c r="C59" s="23" t="s">
        <v>30</v>
      </c>
      <c r="D59" s="233" t="s">
        <v>451</v>
      </c>
      <c r="E59" s="203" t="s">
        <v>146</v>
      </c>
      <c r="F59" s="170">
        <v>1</v>
      </c>
      <c r="G59" s="171">
        <f>IFERROR(VLOOKUP(tblRiskRegister19[[#This Row],[Asset Class]],tblVCDBIndex[],4,FALSE),"")</f>
        <v>3</v>
      </c>
      <c r="H59" s="171">
        <f>IFERROR(VLOOKUP(10*tblRiskRegister19[[#This Row],[Safeguard Maturity Score]]+tblRiskRegister19[[#This Row],[VCDB Index]],tblHITIndexWeightTable[],4,FALSE),"")</f>
        <v>3</v>
      </c>
      <c r="I59" s="171">
        <f>VLOOKUP(tblRiskRegister19[[#This Row],[Asset Class]],tblImpactIndex21[],2,FALSE)</f>
        <v>2</v>
      </c>
      <c r="J59" s="171">
        <f>VLOOKUP(tblRiskRegister19[[#This Row],[Asset Class]],tblImpactIndex21[],3,FALSE)</f>
        <v>2</v>
      </c>
      <c r="K59" s="171">
        <f>VLOOKUP(tblRiskRegister19[[#This Row],[Asset Class]],tblImpactIndex21[],4,FALSE)</f>
        <v>3</v>
      </c>
      <c r="L59" s="171">
        <f>IFERROR(MAX(tblRiskRegister19[[#This Row],[Impact to Mission]:[Impact to Obligations]])*tblRiskRegister19[[#This Row],[Expectancy Score]],"")</f>
        <v>9</v>
      </c>
      <c r="M59" s="171">
        <f>tblRiskRegister19[[#This Row],[Risk Score]]</f>
        <v>9</v>
      </c>
      <c r="N59" s="172" t="s">
        <v>268</v>
      </c>
      <c r="O59" s="29">
        <v>13.2</v>
      </c>
      <c r="P59" s="24" t="s">
        <v>30</v>
      </c>
      <c r="Q59" s="24" t="s">
        <v>194</v>
      </c>
      <c r="R59" s="170"/>
      <c r="S59" s="170">
        <v>1</v>
      </c>
      <c r="T59" s="174">
        <f>IFERROR(VLOOKUP(10*tblRiskRegister19[[#This Row],[Risk Treatment Safeguard Maturity Score]]+tblRiskRegister19[[#This Row],[VCDB Index]],tblHITIndexWeightTable[],4,FALSE),"")</f>
        <v>3</v>
      </c>
      <c r="U59" s="174">
        <f>VLOOKUP(tblRiskRegister19[[#This Row],[Asset Class]],tblImpactIndex21[],2,FALSE)</f>
        <v>2</v>
      </c>
      <c r="V59" s="174">
        <f>VLOOKUP(tblRiskRegister19[[#This Row],[Asset Class]],tblImpactIndex21[],3,FALSE)</f>
        <v>2</v>
      </c>
      <c r="W59" s="174">
        <f>VLOOKUP(tblRiskRegister19[[#This Row],[Asset Class]],tblImpactIndex21[],4,FALSE)</f>
        <v>3</v>
      </c>
      <c r="X59" s="174">
        <f>IFERROR(MAX(tblRiskRegister19[[#This Row],[Risk Treatment Safeguard Impact to Mission]:[Risk Treatment Safeguard Impact to Obligations]])*tblRiskRegister19[[#This Row],[Risk Treatment
Safeguard Expectancy Score]],"")</f>
        <v>9</v>
      </c>
      <c r="Y59" s="174" t="str">
        <f>IF(tblRiskRegister19[[#This Row],[Risk Score]]&gt;5,IF(tblRiskRegister19[[#This Row],[Risk Treatment Safeguard Risk Score]]&lt;6, IF(tblRiskRegister19[[#This Row],[Risk Treatment Safeguard Risk Score]]&lt;=tblRiskRegister19[[#This Row],[Risk Score]],"Yes","No"),"No"),"Yes")</f>
        <v>No</v>
      </c>
      <c r="Z59" s="175"/>
      <c r="AA59" s="175"/>
      <c r="AB59" s="176"/>
      <c r="AC59" s="149"/>
      <c r="AD59" s="149"/>
      <c r="AE59" s="149"/>
      <c r="AF59" s="149"/>
    </row>
    <row r="60" spans="2:32" ht="25.5" x14ac:dyDescent="0.2">
      <c r="B60" s="29">
        <v>13.6</v>
      </c>
      <c r="C60" s="23" t="s">
        <v>92</v>
      </c>
      <c r="D60" s="233" t="s">
        <v>451</v>
      </c>
      <c r="E60" s="203" t="s">
        <v>147</v>
      </c>
      <c r="F60" s="170">
        <v>2</v>
      </c>
      <c r="G60" s="171">
        <f>IFERROR(VLOOKUP(tblRiskRegister19[[#This Row],[Asset Class]],tblVCDBIndex[],4,FALSE),"")</f>
        <v>1</v>
      </c>
      <c r="H60" s="171">
        <f>IFERROR(VLOOKUP(10*tblRiskRegister19[[#This Row],[Safeguard Maturity Score]]+tblRiskRegister19[[#This Row],[VCDB Index]],tblHITIndexWeightTable[],4,FALSE),"")</f>
        <v>2</v>
      </c>
      <c r="I60" s="171">
        <f>VLOOKUP(tblRiskRegister19[[#This Row],[Asset Class]],tblImpactIndex21[],2,FALSE)</f>
        <v>2</v>
      </c>
      <c r="J60" s="171">
        <f>VLOOKUP(tblRiskRegister19[[#This Row],[Asset Class]],tblImpactIndex21[],3,FALSE)</f>
        <v>2</v>
      </c>
      <c r="K60" s="171">
        <f>VLOOKUP(tblRiskRegister19[[#This Row],[Asset Class]],tblImpactIndex21[],4,FALSE)</f>
        <v>2</v>
      </c>
      <c r="L60" s="171">
        <f>IFERROR(MAX(tblRiskRegister19[[#This Row],[Impact to Mission]:[Impact to Obligations]])*tblRiskRegister19[[#This Row],[Expectancy Score]],"")</f>
        <v>4</v>
      </c>
      <c r="M60" s="171">
        <f>tblRiskRegister19[[#This Row],[Risk Score]]</f>
        <v>4</v>
      </c>
      <c r="N60" s="172" t="s">
        <v>268</v>
      </c>
      <c r="O60" s="29">
        <v>13.6</v>
      </c>
      <c r="P60" s="24" t="s">
        <v>92</v>
      </c>
      <c r="Q60" s="24" t="s">
        <v>195</v>
      </c>
      <c r="R60" s="170"/>
      <c r="S60" s="170">
        <v>2</v>
      </c>
      <c r="T60" s="174">
        <f>IFERROR(VLOOKUP(10*tblRiskRegister19[[#This Row],[Risk Treatment Safeguard Maturity Score]]+tblRiskRegister19[[#This Row],[VCDB Index]],tblHITIndexWeightTable[],4,FALSE),"")</f>
        <v>2</v>
      </c>
      <c r="U60" s="174">
        <f>VLOOKUP(tblRiskRegister19[[#This Row],[Asset Class]],tblImpactIndex21[],2,FALSE)</f>
        <v>2</v>
      </c>
      <c r="V60" s="174">
        <f>VLOOKUP(tblRiskRegister19[[#This Row],[Asset Class]],tblImpactIndex21[],3,FALSE)</f>
        <v>2</v>
      </c>
      <c r="W60" s="174">
        <f>VLOOKUP(tblRiskRegister19[[#This Row],[Asset Class]],tblImpactIndex21[],4,FALSE)</f>
        <v>2</v>
      </c>
      <c r="X60" s="174">
        <f>IFERROR(MAX(tblRiskRegister19[[#This Row],[Risk Treatment Safeguard Impact to Mission]:[Risk Treatment Safeguard Impact to Obligations]])*tblRiskRegister19[[#This Row],[Risk Treatment
Safeguard Expectancy Score]],"")</f>
        <v>4</v>
      </c>
      <c r="Y60" s="174" t="str">
        <f>IF(tblRiskRegister19[[#This Row],[Risk Score]]&gt;5,IF(tblRiskRegister19[[#This Row],[Risk Treatment Safeguard Risk Score]]&lt;6, IF(tblRiskRegister19[[#This Row],[Risk Treatment Safeguard Risk Score]]&lt;=tblRiskRegister19[[#This Row],[Risk Score]],"Yes","No"),"No"),"Yes")</f>
        <v>Yes</v>
      </c>
      <c r="Z60" s="175"/>
      <c r="AA60" s="175"/>
      <c r="AB60" s="176"/>
      <c r="AC60" s="149"/>
      <c r="AD60" s="149"/>
      <c r="AE60" s="149"/>
      <c r="AF60" s="149"/>
    </row>
    <row r="61" spans="2:32" ht="76.5" x14ac:dyDescent="0.2">
      <c r="B61" s="29">
        <v>14.6</v>
      </c>
      <c r="C61" s="23" t="s">
        <v>93</v>
      </c>
      <c r="D61" s="233" t="s">
        <v>451</v>
      </c>
      <c r="E61" s="203" t="s">
        <v>146</v>
      </c>
      <c r="F61" s="170">
        <v>4</v>
      </c>
      <c r="G61" s="171">
        <f>IFERROR(VLOOKUP(tblRiskRegister19[[#This Row],[Asset Class]],tblVCDBIndex[],4,FALSE),"")</f>
        <v>3</v>
      </c>
      <c r="H61" s="171">
        <f>IFERROR(VLOOKUP(10*tblRiskRegister19[[#This Row],[Safeguard Maturity Score]]+tblRiskRegister19[[#This Row],[VCDB Index]],tblHITIndexWeightTable[],4,FALSE),"")</f>
        <v>2</v>
      </c>
      <c r="I61" s="171">
        <f>VLOOKUP(tblRiskRegister19[[#This Row],[Asset Class]],tblImpactIndex21[],2,FALSE)</f>
        <v>2</v>
      </c>
      <c r="J61" s="171">
        <f>VLOOKUP(tblRiskRegister19[[#This Row],[Asset Class]],tblImpactIndex21[],3,FALSE)</f>
        <v>2</v>
      </c>
      <c r="K61" s="171">
        <f>VLOOKUP(tblRiskRegister19[[#This Row],[Asset Class]],tblImpactIndex21[],4,FALSE)</f>
        <v>3</v>
      </c>
      <c r="L61" s="171">
        <f>IFERROR(MAX(tblRiskRegister19[[#This Row],[Impact to Mission]:[Impact to Obligations]])*tblRiskRegister19[[#This Row],[Expectancy Score]],"")</f>
        <v>6</v>
      </c>
      <c r="M61" s="171">
        <f>tblRiskRegister19[[#This Row],[Risk Score]]</f>
        <v>6</v>
      </c>
      <c r="N61" s="172" t="s">
        <v>269</v>
      </c>
      <c r="O61" s="29"/>
      <c r="P61" s="24" t="s">
        <v>93</v>
      </c>
      <c r="Q61" s="24" t="s">
        <v>196</v>
      </c>
      <c r="R61" s="170"/>
      <c r="S61" s="170"/>
      <c r="T61" s="174" t="str">
        <f>IFERROR(VLOOKUP(10*tblRiskRegister19[[#This Row],[Risk Treatment Safeguard Maturity Score]]+tblRiskRegister19[[#This Row],[VCDB Index]],tblHITIndexWeightTable[],4,FALSE),"")</f>
        <v/>
      </c>
      <c r="U61" s="174">
        <f>VLOOKUP(tblRiskRegister19[[#This Row],[Asset Class]],tblImpactIndex21[],2,FALSE)</f>
        <v>2</v>
      </c>
      <c r="V61" s="174">
        <f>VLOOKUP(tblRiskRegister19[[#This Row],[Asset Class]],tblImpactIndex21[],3,FALSE)</f>
        <v>2</v>
      </c>
      <c r="W61" s="174">
        <f>VLOOKUP(tblRiskRegister19[[#This Row],[Asset Class]],tblImpactIndex21[],4,FALSE)</f>
        <v>3</v>
      </c>
      <c r="X61" s="174" t="str">
        <f>IFERROR(MAX(tblRiskRegister19[[#This Row],[Risk Treatment Safeguard Impact to Mission]:[Risk Treatment Safeguard Impact to Obligations]])*tblRiskRegister19[[#This Row],[Risk Treatment
Safeguard Expectancy Score]],"")</f>
        <v/>
      </c>
      <c r="Y61" s="174" t="str">
        <f>IF(tblRiskRegister19[[#This Row],[Risk Score]]&gt;5,IF(tblRiskRegister19[[#This Row],[Risk Treatment Safeguard Risk Score]]&lt;6, IF(tblRiskRegister19[[#This Row],[Risk Treatment Safeguard Risk Score]]&lt;=tblRiskRegister19[[#This Row],[Risk Score]],"Yes","No"),"No"),"Yes")</f>
        <v>No</v>
      </c>
      <c r="Z61" s="175"/>
      <c r="AA61" s="175"/>
      <c r="AB61" s="176"/>
      <c r="AC61" s="149"/>
      <c r="AD61" s="149"/>
      <c r="AE61" s="149"/>
      <c r="AF61" s="149"/>
    </row>
    <row r="62" spans="2:32" ht="51" x14ac:dyDescent="0.2">
      <c r="B62" s="29">
        <v>15.7</v>
      </c>
      <c r="C62" s="23" t="s">
        <v>31</v>
      </c>
      <c r="D62" s="233" t="s">
        <v>451</v>
      </c>
      <c r="E62" s="203" t="s">
        <v>149</v>
      </c>
      <c r="F62" s="170">
        <v>3</v>
      </c>
      <c r="G62" s="171">
        <f>IFERROR(VLOOKUP(tblRiskRegister19[[#This Row],[Asset Class]],tblVCDBIndex[],4,FALSE),"")</f>
        <v>1</v>
      </c>
      <c r="H62" s="171">
        <f>IFERROR(VLOOKUP(10*tblRiskRegister19[[#This Row],[Safeguard Maturity Score]]+tblRiskRegister19[[#This Row],[VCDB Index]],tblHITIndexWeightTable[],4,FALSE),"")</f>
        <v>2</v>
      </c>
      <c r="I62" s="171">
        <f>VLOOKUP(tblRiskRegister19[[#This Row],[Asset Class]],tblImpactIndex21[],2,FALSE)</f>
        <v>1</v>
      </c>
      <c r="J62" s="171">
        <f>VLOOKUP(tblRiskRegister19[[#This Row],[Asset Class]],tblImpactIndex21[],3,FALSE)</f>
        <v>2</v>
      </c>
      <c r="K62" s="171">
        <f>VLOOKUP(tblRiskRegister19[[#This Row],[Asset Class]],tblImpactIndex21[],4,FALSE)</f>
        <v>2</v>
      </c>
      <c r="L62" s="171">
        <f>IFERROR(MAX(tblRiskRegister19[[#This Row],[Impact to Mission]:[Impact to Obligations]])*tblRiskRegister19[[#This Row],[Expectancy Score]],"")</f>
        <v>4</v>
      </c>
      <c r="M62" s="171">
        <f>tblRiskRegister19[[#This Row],[Risk Score]]</f>
        <v>4</v>
      </c>
      <c r="N62" s="172" t="s">
        <v>268</v>
      </c>
      <c r="O62" s="29">
        <v>15.7</v>
      </c>
      <c r="P62" s="24" t="s">
        <v>31</v>
      </c>
      <c r="Q62" s="24" t="s">
        <v>198</v>
      </c>
      <c r="R62" s="170"/>
      <c r="S62" s="170">
        <v>3</v>
      </c>
      <c r="T62" s="174">
        <f>IFERROR(VLOOKUP(10*tblRiskRegister19[[#This Row],[Risk Treatment Safeguard Maturity Score]]+tblRiskRegister19[[#This Row],[VCDB Index]],tblHITIndexWeightTable[],4,FALSE),"")</f>
        <v>2</v>
      </c>
      <c r="U62" s="174">
        <f>VLOOKUP(tblRiskRegister19[[#This Row],[Asset Class]],tblImpactIndex21[],2,FALSE)</f>
        <v>1</v>
      </c>
      <c r="V62" s="174">
        <f>VLOOKUP(tblRiskRegister19[[#This Row],[Asset Class]],tblImpactIndex21[],3,FALSE)</f>
        <v>2</v>
      </c>
      <c r="W62" s="174">
        <f>VLOOKUP(tblRiskRegister19[[#This Row],[Asset Class]],tblImpactIndex21[],4,FALSE)</f>
        <v>2</v>
      </c>
      <c r="X62" s="174">
        <f>IFERROR(MAX(tblRiskRegister19[[#This Row],[Risk Treatment Safeguard Impact to Mission]:[Risk Treatment Safeguard Impact to Obligations]])*tblRiskRegister19[[#This Row],[Risk Treatment
Safeguard Expectancy Score]],"")</f>
        <v>4</v>
      </c>
      <c r="Y62" s="174" t="str">
        <f>IF(tblRiskRegister19[[#This Row],[Risk Score]]&gt;5,IF(tblRiskRegister19[[#This Row],[Risk Treatment Safeguard Risk Score]]&lt;6, IF(tblRiskRegister19[[#This Row],[Risk Treatment Safeguard Risk Score]]&lt;=tblRiskRegister19[[#This Row],[Risk Score]],"Yes","No"),"No"),"Yes")</f>
        <v>Yes</v>
      </c>
      <c r="Z62" s="175"/>
      <c r="AA62" s="175"/>
      <c r="AB62" s="176"/>
      <c r="AC62" s="149"/>
      <c r="AD62" s="149"/>
      <c r="AE62" s="149"/>
      <c r="AF62" s="149"/>
    </row>
    <row r="63" spans="2:32" ht="51" x14ac:dyDescent="0.2">
      <c r="B63" s="178">
        <v>15.1</v>
      </c>
      <c r="C63" s="23" t="s">
        <v>32</v>
      </c>
      <c r="D63" s="233" t="s">
        <v>451</v>
      </c>
      <c r="E63" s="203" t="s">
        <v>149</v>
      </c>
      <c r="F63" s="170">
        <v>1</v>
      </c>
      <c r="G63" s="171">
        <f>IFERROR(VLOOKUP(tblRiskRegister19[[#This Row],[Asset Class]],tblVCDBIndex[],4,FALSE),"")</f>
        <v>1</v>
      </c>
      <c r="H63" s="171">
        <f>IFERROR(VLOOKUP(10*tblRiskRegister19[[#This Row],[Safeguard Maturity Score]]+tblRiskRegister19[[#This Row],[VCDB Index]],tblHITIndexWeightTable[],4,FALSE),"")</f>
        <v>2</v>
      </c>
      <c r="I63" s="171">
        <f>VLOOKUP(tblRiskRegister19[[#This Row],[Asset Class]],tblImpactIndex21[],2,FALSE)</f>
        <v>1</v>
      </c>
      <c r="J63" s="171">
        <f>VLOOKUP(tblRiskRegister19[[#This Row],[Asset Class]],tblImpactIndex21[],3,FALSE)</f>
        <v>2</v>
      </c>
      <c r="K63" s="171">
        <f>VLOOKUP(tblRiskRegister19[[#This Row],[Asset Class]],tblImpactIndex21[],4,FALSE)</f>
        <v>2</v>
      </c>
      <c r="L63" s="171">
        <f>IFERROR(MAX(tblRiskRegister19[[#This Row],[Impact to Mission]:[Impact to Obligations]])*tblRiskRegister19[[#This Row],[Expectancy Score]],"")</f>
        <v>4</v>
      </c>
      <c r="M63" s="171">
        <f>tblRiskRegister19[[#This Row],[Risk Score]]</f>
        <v>4</v>
      </c>
      <c r="N63" s="172" t="s">
        <v>268</v>
      </c>
      <c r="O63" s="178">
        <v>15.1</v>
      </c>
      <c r="P63" s="24" t="s">
        <v>32</v>
      </c>
      <c r="Q63" s="24" t="s">
        <v>197</v>
      </c>
      <c r="R63" s="170"/>
      <c r="S63" s="170">
        <v>1</v>
      </c>
      <c r="T63" s="174">
        <f>IFERROR(VLOOKUP(10*tblRiskRegister19[[#This Row],[Risk Treatment Safeguard Maturity Score]]+tblRiskRegister19[[#This Row],[VCDB Index]],tblHITIndexWeightTable[],4,FALSE),"")</f>
        <v>2</v>
      </c>
      <c r="U63" s="174">
        <f>VLOOKUP(tblRiskRegister19[[#This Row],[Asset Class]],tblImpactIndex21[],2,FALSE)</f>
        <v>1</v>
      </c>
      <c r="V63" s="174">
        <f>VLOOKUP(tblRiskRegister19[[#This Row],[Asset Class]],tblImpactIndex21[],3,FALSE)</f>
        <v>2</v>
      </c>
      <c r="W63" s="174">
        <f>VLOOKUP(tblRiskRegister19[[#This Row],[Asset Class]],tblImpactIndex21[],4,FALSE)</f>
        <v>2</v>
      </c>
      <c r="X63" s="174">
        <f>IFERROR(MAX(tblRiskRegister19[[#This Row],[Risk Treatment Safeguard Impact to Mission]:[Risk Treatment Safeguard Impact to Obligations]])*tblRiskRegister19[[#This Row],[Risk Treatment
Safeguard Expectancy Score]],"")</f>
        <v>4</v>
      </c>
      <c r="Y63" s="174" t="str">
        <f>IF(tblRiskRegister19[[#This Row],[Risk Score]]&gt;5,IF(tblRiskRegister19[[#This Row],[Risk Treatment Safeguard Risk Score]]&lt;6, IF(tblRiskRegister19[[#This Row],[Risk Treatment Safeguard Risk Score]]&lt;=tblRiskRegister19[[#This Row],[Risk Score]],"Yes","No"),"No"),"Yes")</f>
        <v>Yes</v>
      </c>
      <c r="Z63" s="175"/>
      <c r="AA63" s="175"/>
      <c r="AB63" s="176"/>
      <c r="AC63" s="149"/>
      <c r="AD63" s="149"/>
      <c r="AE63" s="149"/>
      <c r="AF63" s="149"/>
    </row>
    <row r="64" spans="2:32" ht="25.5" x14ac:dyDescent="0.2">
      <c r="B64" s="29">
        <v>16.8</v>
      </c>
      <c r="C64" s="23" t="s">
        <v>33</v>
      </c>
      <c r="D64" s="233" t="s">
        <v>450</v>
      </c>
      <c r="E64" s="203" t="s">
        <v>150</v>
      </c>
      <c r="F64" s="170">
        <v>2</v>
      </c>
      <c r="G64" s="171">
        <f>IFERROR(VLOOKUP(tblRiskRegister19[[#This Row],[Asset Class]],tblVCDBIndex[],4,FALSE),"")</f>
        <v>3</v>
      </c>
      <c r="H64" s="171">
        <f>IFERROR(VLOOKUP(10*tblRiskRegister19[[#This Row],[Safeguard Maturity Score]]+tblRiskRegister19[[#This Row],[VCDB Index]],tblHITIndexWeightTable[],4,FALSE),"")</f>
        <v>2</v>
      </c>
      <c r="I64" s="171">
        <f>VLOOKUP(tblRiskRegister19[[#This Row],[Asset Class]],tblImpactIndex21[],2,FALSE)</f>
        <v>2</v>
      </c>
      <c r="J64" s="171">
        <f>VLOOKUP(tblRiskRegister19[[#This Row],[Asset Class]],tblImpactIndex21[],3,FALSE)</f>
        <v>2</v>
      </c>
      <c r="K64" s="171">
        <f>VLOOKUP(tblRiskRegister19[[#This Row],[Asset Class]],tblImpactIndex21[],4,FALSE)</f>
        <v>3</v>
      </c>
      <c r="L64" s="171">
        <f>IFERROR(MAX(tblRiskRegister19[[#This Row],[Impact to Mission]:[Impact to Obligations]])*tblRiskRegister19[[#This Row],[Expectancy Score]],"")</f>
        <v>6</v>
      </c>
      <c r="M64" s="171">
        <f>tblRiskRegister19[[#This Row],[Risk Score]]</f>
        <v>6</v>
      </c>
      <c r="N64" s="172" t="s">
        <v>268</v>
      </c>
      <c r="O64" s="29">
        <v>16.8</v>
      </c>
      <c r="P64" s="24" t="s">
        <v>33</v>
      </c>
      <c r="Q64" s="24" t="s">
        <v>199</v>
      </c>
      <c r="R64" s="170"/>
      <c r="S64" s="170">
        <v>2</v>
      </c>
      <c r="T64" s="174">
        <f>IFERROR(VLOOKUP(10*tblRiskRegister19[[#This Row],[Risk Treatment Safeguard Maturity Score]]+tblRiskRegister19[[#This Row],[VCDB Index]],tblHITIndexWeightTable[],4,FALSE),"")</f>
        <v>2</v>
      </c>
      <c r="U64" s="174">
        <f>VLOOKUP(tblRiskRegister19[[#This Row],[Asset Class]],tblImpactIndex21[],2,FALSE)</f>
        <v>2</v>
      </c>
      <c r="V64" s="174">
        <f>VLOOKUP(tblRiskRegister19[[#This Row],[Asset Class]],tblImpactIndex21[],3,FALSE)</f>
        <v>2</v>
      </c>
      <c r="W64" s="174">
        <f>VLOOKUP(tblRiskRegister19[[#This Row],[Asset Class]],tblImpactIndex21[],4,FALSE)</f>
        <v>3</v>
      </c>
      <c r="X64" s="174">
        <f>IFERROR(MAX(tblRiskRegister19[[#This Row],[Risk Treatment Safeguard Impact to Mission]:[Risk Treatment Safeguard Impact to Obligations]])*tblRiskRegister19[[#This Row],[Risk Treatment
Safeguard Expectancy Score]],"")</f>
        <v>6</v>
      </c>
      <c r="Y64" s="174" t="str">
        <f>IF(tblRiskRegister19[[#This Row],[Risk Score]]&gt;5,IF(tblRiskRegister19[[#This Row],[Risk Treatment Safeguard Risk Score]]&lt;6, IF(tblRiskRegister19[[#This Row],[Risk Treatment Safeguard Risk Score]]&lt;=tblRiskRegister19[[#This Row],[Risk Score]],"Yes","No"),"No"),"Yes")</f>
        <v>No</v>
      </c>
      <c r="Z64" s="175"/>
      <c r="AA64" s="175"/>
      <c r="AB64" s="176"/>
      <c r="AC64" s="149"/>
      <c r="AD64" s="149"/>
      <c r="AE64" s="149"/>
      <c r="AF64" s="149"/>
    </row>
    <row r="65" spans="2:32" ht="25.5" x14ac:dyDescent="0.2">
      <c r="B65" s="29">
        <v>16.899999999999999</v>
      </c>
      <c r="C65" s="23" t="s">
        <v>34</v>
      </c>
      <c r="D65" s="233" t="s">
        <v>450</v>
      </c>
      <c r="E65" s="203" t="s">
        <v>150</v>
      </c>
      <c r="F65" s="170">
        <v>4</v>
      </c>
      <c r="G65" s="171">
        <f>IFERROR(VLOOKUP(tblRiskRegister19[[#This Row],[Asset Class]],tblVCDBIndex[],4,FALSE),"")</f>
        <v>3</v>
      </c>
      <c r="H65" s="171">
        <f>IFERROR(VLOOKUP(10*tblRiskRegister19[[#This Row],[Safeguard Maturity Score]]+tblRiskRegister19[[#This Row],[VCDB Index]],tblHITIndexWeightTable[],4,FALSE),"")</f>
        <v>2</v>
      </c>
      <c r="I65" s="171">
        <f>VLOOKUP(tblRiskRegister19[[#This Row],[Asset Class]],tblImpactIndex21[],2,FALSE)</f>
        <v>2</v>
      </c>
      <c r="J65" s="171">
        <f>VLOOKUP(tblRiskRegister19[[#This Row],[Asset Class]],tblImpactIndex21[],3,FALSE)</f>
        <v>2</v>
      </c>
      <c r="K65" s="171">
        <f>VLOOKUP(tblRiskRegister19[[#This Row],[Asset Class]],tblImpactIndex21[],4,FALSE)</f>
        <v>3</v>
      </c>
      <c r="L65" s="171">
        <f>IFERROR(MAX(tblRiskRegister19[[#This Row],[Impact to Mission]:[Impact to Obligations]])*tblRiskRegister19[[#This Row],[Expectancy Score]],"")</f>
        <v>6</v>
      </c>
      <c r="M65" s="171">
        <f>tblRiskRegister19[[#This Row],[Risk Score]]</f>
        <v>6</v>
      </c>
      <c r="N65" s="172" t="s">
        <v>268</v>
      </c>
      <c r="O65" s="29">
        <v>16.899999999999999</v>
      </c>
      <c r="P65" s="24" t="s">
        <v>34</v>
      </c>
      <c r="Q65" s="24" t="s">
        <v>200</v>
      </c>
      <c r="R65" s="170"/>
      <c r="S65" s="170">
        <v>4</v>
      </c>
      <c r="T65" s="174">
        <f>IFERROR(VLOOKUP(10*tblRiskRegister19[[#This Row],[Risk Treatment Safeguard Maturity Score]]+tblRiskRegister19[[#This Row],[VCDB Index]],tblHITIndexWeightTable[],4,FALSE),"")</f>
        <v>2</v>
      </c>
      <c r="U65" s="174">
        <f>VLOOKUP(tblRiskRegister19[[#This Row],[Asset Class]],tblImpactIndex21[],2,FALSE)</f>
        <v>2</v>
      </c>
      <c r="V65" s="174">
        <f>VLOOKUP(tblRiskRegister19[[#This Row],[Asset Class]],tblImpactIndex21[],3,FALSE)</f>
        <v>2</v>
      </c>
      <c r="W65" s="174">
        <f>VLOOKUP(tblRiskRegister19[[#This Row],[Asset Class]],tblImpactIndex21[],4,FALSE)</f>
        <v>3</v>
      </c>
      <c r="X65" s="174">
        <f>IFERROR(MAX(tblRiskRegister19[[#This Row],[Risk Treatment Safeguard Impact to Mission]:[Risk Treatment Safeguard Impact to Obligations]])*tblRiskRegister19[[#This Row],[Risk Treatment
Safeguard Expectancy Score]],"")</f>
        <v>6</v>
      </c>
      <c r="Y65" s="174" t="str">
        <f>IF(tblRiskRegister19[[#This Row],[Risk Score]]&gt;5,IF(tblRiskRegister19[[#This Row],[Risk Treatment Safeguard Risk Score]]&lt;6, IF(tblRiskRegister19[[#This Row],[Risk Treatment Safeguard Risk Score]]&lt;=tblRiskRegister19[[#This Row],[Risk Score]],"Yes","No"),"No"),"Yes")</f>
        <v>No</v>
      </c>
      <c r="Z65" s="175"/>
      <c r="AA65" s="175"/>
      <c r="AB65" s="176"/>
      <c r="AC65" s="149"/>
      <c r="AD65" s="149"/>
      <c r="AE65" s="149"/>
      <c r="AF65" s="149"/>
    </row>
    <row r="66" spans="2:32" ht="25.5" x14ac:dyDescent="0.2">
      <c r="B66" s="29">
        <v>16.11</v>
      </c>
      <c r="C66" s="23" t="s">
        <v>35</v>
      </c>
      <c r="D66" s="233" t="s">
        <v>451</v>
      </c>
      <c r="E66" s="203" t="s">
        <v>147</v>
      </c>
      <c r="F66" s="170">
        <v>2</v>
      </c>
      <c r="G66" s="171">
        <f>IFERROR(VLOOKUP(tblRiskRegister19[[#This Row],[Asset Class]],tblVCDBIndex[],4,FALSE),"")</f>
        <v>1</v>
      </c>
      <c r="H66" s="171">
        <f>IFERROR(VLOOKUP(10*tblRiskRegister19[[#This Row],[Safeguard Maturity Score]]+tblRiskRegister19[[#This Row],[VCDB Index]],tblHITIndexWeightTable[],4,FALSE),"")</f>
        <v>2</v>
      </c>
      <c r="I66" s="171">
        <f>VLOOKUP(tblRiskRegister19[[#This Row],[Asset Class]],tblImpactIndex21[],2,FALSE)</f>
        <v>2</v>
      </c>
      <c r="J66" s="171">
        <f>VLOOKUP(tblRiskRegister19[[#This Row],[Asset Class]],tblImpactIndex21[],3,FALSE)</f>
        <v>2</v>
      </c>
      <c r="K66" s="171">
        <f>VLOOKUP(tblRiskRegister19[[#This Row],[Asset Class]],tblImpactIndex21[],4,FALSE)</f>
        <v>2</v>
      </c>
      <c r="L66" s="171">
        <f>IFERROR(MAX(tblRiskRegister19[[#This Row],[Impact to Mission]:[Impact to Obligations]])*tblRiskRegister19[[#This Row],[Expectancy Score]],"")</f>
        <v>4</v>
      </c>
      <c r="M66" s="171">
        <f>tblRiskRegister19[[#This Row],[Risk Score]]</f>
        <v>4</v>
      </c>
      <c r="N66" s="172" t="s">
        <v>268</v>
      </c>
      <c r="O66" s="29">
        <v>16.11</v>
      </c>
      <c r="P66" s="24" t="s">
        <v>35</v>
      </c>
      <c r="Q66" s="24" t="s">
        <v>201</v>
      </c>
      <c r="R66" s="170"/>
      <c r="S66" s="170">
        <v>2</v>
      </c>
      <c r="T66" s="174">
        <f>IFERROR(VLOOKUP(10*tblRiskRegister19[[#This Row],[Risk Treatment Safeguard Maturity Score]]+tblRiskRegister19[[#This Row],[VCDB Index]],tblHITIndexWeightTable[],4,FALSE),"")</f>
        <v>2</v>
      </c>
      <c r="U66" s="174">
        <f>VLOOKUP(tblRiskRegister19[[#This Row],[Asset Class]],tblImpactIndex21[],2,FALSE)</f>
        <v>2</v>
      </c>
      <c r="V66" s="174">
        <f>VLOOKUP(tblRiskRegister19[[#This Row],[Asset Class]],tblImpactIndex21[],3,FALSE)</f>
        <v>2</v>
      </c>
      <c r="W66" s="174">
        <f>VLOOKUP(tblRiskRegister19[[#This Row],[Asset Class]],tblImpactIndex21[],4,FALSE)</f>
        <v>2</v>
      </c>
      <c r="X66" s="174">
        <f>IFERROR(MAX(tblRiskRegister19[[#This Row],[Risk Treatment Safeguard Impact to Mission]:[Risk Treatment Safeguard Impact to Obligations]])*tblRiskRegister19[[#This Row],[Risk Treatment
Safeguard Expectancy Score]],"")</f>
        <v>4</v>
      </c>
      <c r="Y66" s="174" t="str">
        <f>IF(tblRiskRegister19[[#This Row],[Risk Score]]&gt;5,IF(tblRiskRegister19[[#This Row],[Risk Treatment Safeguard Risk Score]]&lt;6, IF(tblRiskRegister19[[#This Row],[Risk Treatment Safeguard Risk Score]]&lt;=tblRiskRegister19[[#This Row],[Risk Score]],"Yes","No"),"No"),"Yes")</f>
        <v>Yes</v>
      </c>
      <c r="Z66" s="175"/>
      <c r="AA66" s="175"/>
      <c r="AB66" s="176"/>
      <c r="AC66" s="149"/>
      <c r="AD66" s="149"/>
      <c r="AE66" s="149"/>
      <c r="AF66" s="149"/>
    </row>
    <row r="67" spans="2:32" ht="76.5" x14ac:dyDescent="0.2">
      <c r="B67" s="29">
        <v>17.3</v>
      </c>
      <c r="C67" s="23" t="s">
        <v>36</v>
      </c>
      <c r="D67" s="233" t="s">
        <v>454</v>
      </c>
      <c r="E67" s="203" t="s">
        <v>150</v>
      </c>
      <c r="F67" s="170">
        <v>5</v>
      </c>
      <c r="G67" s="171">
        <f>IFERROR(VLOOKUP(tblRiskRegister19[[#This Row],[Asset Class]],tblVCDBIndex[],4,FALSE),"")</f>
        <v>3</v>
      </c>
      <c r="H67" s="171">
        <f>IFERROR(VLOOKUP(10*tblRiskRegister19[[#This Row],[Safeguard Maturity Score]]+tblRiskRegister19[[#This Row],[VCDB Index]],tblHITIndexWeightTable[],4,FALSE),"")</f>
        <v>1</v>
      </c>
      <c r="I67" s="171">
        <f>VLOOKUP(tblRiskRegister19[[#This Row],[Asset Class]],tblImpactIndex21[],2,FALSE)</f>
        <v>2</v>
      </c>
      <c r="J67" s="171">
        <f>VLOOKUP(tblRiskRegister19[[#This Row],[Asset Class]],tblImpactIndex21[],3,FALSE)</f>
        <v>2</v>
      </c>
      <c r="K67" s="171">
        <f>VLOOKUP(tblRiskRegister19[[#This Row],[Asset Class]],tblImpactIndex21[],4,FALSE)</f>
        <v>3</v>
      </c>
      <c r="L67" s="171">
        <f>IFERROR(MAX(tblRiskRegister19[[#This Row],[Impact to Mission]:[Impact to Obligations]])*tblRiskRegister19[[#This Row],[Expectancy Score]],"")</f>
        <v>3</v>
      </c>
      <c r="M67" s="171">
        <f>tblRiskRegister19[[#This Row],[Risk Score]]</f>
        <v>3</v>
      </c>
      <c r="N67" s="172" t="s">
        <v>269</v>
      </c>
      <c r="O67" s="29"/>
      <c r="P67" s="24" t="s">
        <v>36</v>
      </c>
      <c r="Q67" s="24" t="s">
        <v>202</v>
      </c>
      <c r="R67" s="170"/>
      <c r="S67" s="170"/>
      <c r="T67" s="174" t="str">
        <f>IFERROR(VLOOKUP(10*tblRiskRegister19[[#This Row],[Risk Treatment Safeguard Maturity Score]]+tblRiskRegister19[[#This Row],[VCDB Index]],tblHITIndexWeightTable[],4,FALSE),"")</f>
        <v/>
      </c>
      <c r="U67" s="174">
        <f>VLOOKUP(tblRiskRegister19[[#This Row],[Asset Class]],tblImpactIndex21[],2,FALSE)</f>
        <v>2</v>
      </c>
      <c r="V67" s="174">
        <f>VLOOKUP(tblRiskRegister19[[#This Row],[Asset Class]],tblImpactIndex21[],3,FALSE)</f>
        <v>2</v>
      </c>
      <c r="W67" s="174">
        <f>VLOOKUP(tblRiskRegister19[[#This Row],[Asset Class]],tblImpactIndex21[],4,FALSE)</f>
        <v>3</v>
      </c>
      <c r="X67" s="174" t="str">
        <f>IFERROR(MAX(tblRiskRegister19[[#This Row],[Risk Treatment Safeguard Impact to Mission]:[Risk Treatment Safeguard Impact to Obligations]])*tblRiskRegister19[[#This Row],[Risk Treatment
Safeguard Expectancy Score]],"")</f>
        <v/>
      </c>
      <c r="Y67" s="174" t="str">
        <f>IF(tblRiskRegister19[[#This Row],[Risk Score]]&gt;5,IF(tblRiskRegister19[[#This Row],[Risk Treatment Safeguard Risk Score]]&lt;6, IF(tblRiskRegister19[[#This Row],[Risk Treatment Safeguard Risk Score]]&lt;=tblRiskRegister19[[#This Row],[Risk Score]],"Yes","No"),"No"),"Yes")</f>
        <v>Yes</v>
      </c>
      <c r="Z67" s="175"/>
      <c r="AA67" s="175"/>
      <c r="AB67" s="176"/>
      <c r="AC67" s="149"/>
      <c r="AD67" s="149"/>
      <c r="AE67" s="149"/>
      <c r="AF67" s="149"/>
    </row>
    <row r="68" spans="2:32" ht="25.5" x14ac:dyDescent="0.2">
      <c r="B68" s="29">
        <v>17.5</v>
      </c>
      <c r="C68" s="23" t="s">
        <v>37</v>
      </c>
      <c r="D68" s="233" t="s">
        <v>454</v>
      </c>
      <c r="E68" s="203" t="s">
        <v>150</v>
      </c>
      <c r="F68" s="170">
        <v>1</v>
      </c>
      <c r="G68" s="171">
        <f>IFERROR(VLOOKUP(tblRiskRegister19[[#This Row],[Asset Class]],tblVCDBIndex[],4,FALSE),"")</f>
        <v>3</v>
      </c>
      <c r="H68" s="171">
        <f>IFERROR(VLOOKUP(10*tblRiskRegister19[[#This Row],[Safeguard Maturity Score]]+tblRiskRegister19[[#This Row],[VCDB Index]],tblHITIndexWeightTable[],4,FALSE),"")</f>
        <v>3</v>
      </c>
      <c r="I68" s="171">
        <f>VLOOKUP(tblRiskRegister19[[#This Row],[Asset Class]],tblImpactIndex21[],2,FALSE)</f>
        <v>2</v>
      </c>
      <c r="J68" s="171">
        <f>VLOOKUP(tblRiskRegister19[[#This Row],[Asset Class]],tblImpactIndex21[],3,FALSE)</f>
        <v>2</v>
      </c>
      <c r="K68" s="171">
        <f>VLOOKUP(tblRiskRegister19[[#This Row],[Asset Class]],tblImpactIndex21[],4,FALSE)</f>
        <v>3</v>
      </c>
      <c r="L68" s="171">
        <f>IFERROR(MAX(tblRiskRegister19[[#This Row],[Impact to Mission]:[Impact to Obligations]])*tblRiskRegister19[[#This Row],[Expectancy Score]],"")</f>
        <v>9</v>
      </c>
      <c r="M68" s="171">
        <f>tblRiskRegister19[[#This Row],[Risk Score]]</f>
        <v>9</v>
      </c>
      <c r="N68" s="172" t="s">
        <v>268</v>
      </c>
      <c r="O68" s="29">
        <v>17.5</v>
      </c>
      <c r="P68" s="24" t="s">
        <v>37</v>
      </c>
      <c r="Q68" s="24" t="s">
        <v>203</v>
      </c>
      <c r="R68" s="170"/>
      <c r="S68" s="170">
        <v>1</v>
      </c>
      <c r="T68" s="174">
        <f>IFERROR(VLOOKUP(10*tblRiskRegister19[[#This Row],[Risk Treatment Safeguard Maturity Score]]+tblRiskRegister19[[#This Row],[VCDB Index]],tblHITIndexWeightTable[],4,FALSE),"")</f>
        <v>3</v>
      </c>
      <c r="U68" s="174">
        <f>VLOOKUP(tblRiskRegister19[[#This Row],[Asset Class]],tblImpactIndex21[],2,FALSE)</f>
        <v>2</v>
      </c>
      <c r="V68" s="174">
        <f>VLOOKUP(tblRiskRegister19[[#This Row],[Asset Class]],tblImpactIndex21[],3,FALSE)</f>
        <v>2</v>
      </c>
      <c r="W68" s="174">
        <f>VLOOKUP(tblRiskRegister19[[#This Row],[Asset Class]],tblImpactIndex21[],4,FALSE)</f>
        <v>3</v>
      </c>
      <c r="X68" s="174">
        <f>IFERROR(MAX(tblRiskRegister19[[#This Row],[Risk Treatment Safeguard Impact to Mission]:[Risk Treatment Safeguard Impact to Obligations]])*tblRiskRegister19[[#This Row],[Risk Treatment
Safeguard Expectancy Score]],"")</f>
        <v>9</v>
      </c>
      <c r="Y68" s="174" t="str">
        <f>IF(tblRiskRegister19[[#This Row],[Risk Score]]&gt;5,IF(tblRiskRegister19[[#This Row],[Risk Treatment Safeguard Risk Score]]&lt;6, IF(tblRiskRegister19[[#This Row],[Risk Treatment Safeguard Risk Score]]&lt;=tblRiskRegister19[[#This Row],[Risk Score]],"Yes","No"),"No"),"Yes")</f>
        <v>No</v>
      </c>
      <c r="Z68" s="175"/>
      <c r="AA68" s="175"/>
      <c r="AB68" s="176"/>
      <c r="AC68" s="149"/>
      <c r="AD68" s="149"/>
      <c r="AE68" s="149"/>
      <c r="AF68" s="149"/>
    </row>
    <row r="69" spans="2:32" ht="38.25" x14ac:dyDescent="0.2">
      <c r="B69" s="29">
        <v>17.600000000000001</v>
      </c>
      <c r="C69" s="23" t="s">
        <v>38</v>
      </c>
      <c r="D69" s="233" t="s">
        <v>454</v>
      </c>
      <c r="E69" s="203" t="s">
        <v>150</v>
      </c>
      <c r="F69" s="170">
        <v>2</v>
      </c>
      <c r="G69" s="171">
        <f>IFERROR(VLOOKUP(tblRiskRegister19[[#This Row],[Asset Class]],tblVCDBIndex[],4,FALSE),"")</f>
        <v>3</v>
      </c>
      <c r="H69" s="171">
        <f>IFERROR(VLOOKUP(10*tblRiskRegister19[[#This Row],[Safeguard Maturity Score]]+tblRiskRegister19[[#This Row],[VCDB Index]],tblHITIndexWeightTable[],4,FALSE),"")</f>
        <v>2</v>
      </c>
      <c r="I69" s="171">
        <f>VLOOKUP(tblRiskRegister19[[#This Row],[Asset Class]],tblImpactIndex21[],2,FALSE)</f>
        <v>2</v>
      </c>
      <c r="J69" s="171">
        <f>VLOOKUP(tblRiskRegister19[[#This Row],[Asset Class]],tblImpactIndex21[],3,FALSE)</f>
        <v>2</v>
      </c>
      <c r="K69" s="171">
        <f>VLOOKUP(tblRiskRegister19[[#This Row],[Asset Class]],tblImpactIndex21[],4,FALSE)</f>
        <v>3</v>
      </c>
      <c r="L69" s="171">
        <f>IFERROR(MAX(tblRiskRegister19[[#This Row],[Impact to Mission]:[Impact to Obligations]])*tblRiskRegister19[[#This Row],[Expectancy Score]],"")</f>
        <v>6</v>
      </c>
      <c r="M69" s="171">
        <f>tblRiskRegister19[[#This Row],[Risk Score]]</f>
        <v>6</v>
      </c>
      <c r="N69" s="172" t="s">
        <v>268</v>
      </c>
      <c r="O69" s="29">
        <v>17.600000000000001</v>
      </c>
      <c r="P69" s="24" t="s">
        <v>38</v>
      </c>
      <c r="Q69" s="24" t="s">
        <v>418</v>
      </c>
      <c r="R69" s="170"/>
      <c r="S69" s="170">
        <v>2</v>
      </c>
      <c r="T69" s="174">
        <f>IFERROR(VLOOKUP(10*tblRiskRegister19[[#This Row],[Risk Treatment Safeguard Maturity Score]]+tblRiskRegister19[[#This Row],[VCDB Index]],tblHITIndexWeightTable[],4,FALSE),"")</f>
        <v>2</v>
      </c>
      <c r="U69" s="174">
        <f>VLOOKUP(tblRiskRegister19[[#This Row],[Asset Class]],tblImpactIndex21[],2,FALSE)</f>
        <v>2</v>
      </c>
      <c r="V69" s="174">
        <f>VLOOKUP(tblRiskRegister19[[#This Row],[Asset Class]],tblImpactIndex21[],3,FALSE)</f>
        <v>2</v>
      </c>
      <c r="W69" s="174">
        <f>VLOOKUP(tblRiskRegister19[[#This Row],[Asset Class]],tblImpactIndex21[],4,FALSE)</f>
        <v>3</v>
      </c>
      <c r="X69" s="174">
        <f>IFERROR(MAX(tblRiskRegister19[[#This Row],[Risk Treatment Safeguard Impact to Mission]:[Risk Treatment Safeguard Impact to Obligations]])*tblRiskRegister19[[#This Row],[Risk Treatment
Safeguard Expectancy Score]],"")</f>
        <v>6</v>
      </c>
      <c r="Y69" s="174" t="str">
        <f>IF(tblRiskRegister19[[#This Row],[Risk Score]]&gt;5,IF(tblRiskRegister19[[#This Row],[Risk Treatment Safeguard Risk Score]]&lt;6, IF(tblRiskRegister19[[#This Row],[Risk Treatment Safeguard Risk Score]]&lt;=tblRiskRegister19[[#This Row],[Risk Score]],"Yes","No"),"No"),"Yes")</f>
        <v>No</v>
      </c>
      <c r="Z69" s="175"/>
      <c r="AA69" s="175"/>
      <c r="AB69" s="176"/>
      <c r="AC69" s="149"/>
      <c r="AD69" s="149"/>
      <c r="AE69" s="149"/>
      <c r="AF69" s="149"/>
    </row>
    <row r="70" spans="2:32" ht="25.5" x14ac:dyDescent="0.2">
      <c r="B70" s="29">
        <v>17.7</v>
      </c>
      <c r="C70" s="23" t="s">
        <v>39</v>
      </c>
      <c r="D70" s="233" t="s">
        <v>454</v>
      </c>
      <c r="E70" s="203" t="s">
        <v>150</v>
      </c>
      <c r="F70" s="170">
        <v>3</v>
      </c>
      <c r="G70" s="171">
        <f>IFERROR(VLOOKUP(tblRiskRegister19[[#This Row],[Asset Class]],tblVCDBIndex[],4,FALSE),"")</f>
        <v>3</v>
      </c>
      <c r="H70" s="171">
        <f>IFERROR(VLOOKUP(10*tblRiskRegister19[[#This Row],[Safeguard Maturity Score]]+tblRiskRegister19[[#This Row],[VCDB Index]],tblHITIndexWeightTable[],4,FALSE),"")</f>
        <v>2</v>
      </c>
      <c r="I70" s="171">
        <f>VLOOKUP(tblRiskRegister19[[#This Row],[Asset Class]],tblImpactIndex21[],2,FALSE)</f>
        <v>2</v>
      </c>
      <c r="J70" s="171">
        <f>VLOOKUP(tblRiskRegister19[[#This Row],[Asset Class]],tblImpactIndex21[],3,FALSE)</f>
        <v>2</v>
      </c>
      <c r="K70" s="171">
        <f>VLOOKUP(tblRiskRegister19[[#This Row],[Asset Class]],tblImpactIndex21[],4,FALSE)</f>
        <v>3</v>
      </c>
      <c r="L70" s="171">
        <f>IFERROR(MAX(tblRiskRegister19[[#This Row],[Impact to Mission]:[Impact to Obligations]])*tblRiskRegister19[[#This Row],[Expectancy Score]],"")</f>
        <v>6</v>
      </c>
      <c r="M70" s="171">
        <f>tblRiskRegister19[[#This Row],[Risk Score]]</f>
        <v>6</v>
      </c>
      <c r="N70" s="172" t="s">
        <v>268</v>
      </c>
      <c r="O70" s="29">
        <v>17.7</v>
      </c>
      <c r="P70" s="24" t="s">
        <v>39</v>
      </c>
      <c r="Q70" s="24" t="s">
        <v>419</v>
      </c>
      <c r="R70" s="170"/>
      <c r="S70" s="170">
        <v>3</v>
      </c>
      <c r="T70" s="174">
        <f>IFERROR(VLOOKUP(10*tblRiskRegister19[[#This Row],[Risk Treatment Safeguard Maturity Score]]+tblRiskRegister19[[#This Row],[VCDB Index]],tblHITIndexWeightTable[],4,FALSE),"")</f>
        <v>2</v>
      </c>
      <c r="U70" s="174">
        <f>VLOOKUP(tblRiskRegister19[[#This Row],[Asset Class]],tblImpactIndex21[],2,FALSE)</f>
        <v>2</v>
      </c>
      <c r="V70" s="174">
        <f>VLOOKUP(tblRiskRegister19[[#This Row],[Asset Class]],tblImpactIndex21[],3,FALSE)</f>
        <v>2</v>
      </c>
      <c r="W70" s="174">
        <f>VLOOKUP(tblRiskRegister19[[#This Row],[Asset Class]],tblImpactIndex21[],4,FALSE)</f>
        <v>3</v>
      </c>
      <c r="X70" s="174">
        <f>IFERROR(MAX(tblRiskRegister19[[#This Row],[Risk Treatment Safeguard Impact to Mission]:[Risk Treatment Safeguard Impact to Obligations]])*tblRiskRegister19[[#This Row],[Risk Treatment
Safeguard Expectancy Score]],"")</f>
        <v>6</v>
      </c>
      <c r="Y70" s="174" t="str">
        <f>IF(tblRiskRegister19[[#This Row],[Risk Score]]&gt;5,IF(tblRiskRegister19[[#This Row],[Risk Treatment Safeguard Risk Score]]&lt;6, IF(tblRiskRegister19[[#This Row],[Risk Treatment Safeguard Risk Score]]&lt;=tblRiskRegister19[[#This Row],[Risk Score]],"Yes","No"),"No"),"Yes")</f>
        <v>No</v>
      </c>
      <c r="Z70" s="175"/>
      <c r="AA70" s="175"/>
      <c r="AB70" s="176"/>
      <c r="AC70" s="149"/>
      <c r="AD70" s="149"/>
      <c r="AE70" s="149"/>
      <c r="AF70" s="149"/>
    </row>
    <row r="71" spans="2:32" ht="51" x14ac:dyDescent="0.2">
      <c r="B71" s="29">
        <v>17.8</v>
      </c>
      <c r="C71" s="23" t="s">
        <v>40</v>
      </c>
      <c r="D71" s="233" t="s">
        <v>454</v>
      </c>
      <c r="E71" s="203" t="s">
        <v>150</v>
      </c>
      <c r="F71" s="170">
        <v>4</v>
      </c>
      <c r="G71" s="171">
        <f>IFERROR(VLOOKUP(tblRiskRegister19[[#This Row],[Asset Class]],tblVCDBIndex[],4,FALSE),"")</f>
        <v>3</v>
      </c>
      <c r="H71" s="171">
        <f>IFERROR(VLOOKUP(10*tblRiskRegister19[[#This Row],[Safeguard Maturity Score]]+tblRiskRegister19[[#This Row],[VCDB Index]],tblHITIndexWeightTable[],4,FALSE),"")</f>
        <v>2</v>
      </c>
      <c r="I71" s="171">
        <f>VLOOKUP(tblRiskRegister19[[#This Row],[Asset Class]],tblImpactIndex21[],2,FALSE)</f>
        <v>2</v>
      </c>
      <c r="J71" s="171">
        <f>VLOOKUP(tblRiskRegister19[[#This Row],[Asset Class]],tblImpactIndex21[],3,FALSE)</f>
        <v>2</v>
      </c>
      <c r="K71" s="171">
        <f>VLOOKUP(tblRiskRegister19[[#This Row],[Asset Class]],tblImpactIndex21[],4,FALSE)</f>
        <v>3</v>
      </c>
      <c r="L71" s="171">
        <f>IFERROR(MAX(tblRiskRegister19[[#This Row],[Impact to Mission]:[Impact to Obligations]])*tblRiskRegister19[[#This Row],[Expectancy Score]],"")</f>
        <v>6</v>
      </c>
      <c r="M71" s="171">
        <f>tblRiskRegister19[[#This Row],[Risk Score]]</f>
        <v>6</v>
      </c>
      <c r="N71" s="172" t="s">
        <v>268</v>
      </c>
      <c r="O71" s="29">
        <v>17.8</v>
      </c>
      <c r="P71" s="24" t="s">
        <v>40</v>
      </c>
      <c r="Q71" s="24" t="s">
        <v>204</v>
      </c>
      <c r="R71" s="170"/>
      <c r="S71" s="170">
        <v>4</v>
      </c>
      <c r="T71" s="174">
        <f>IFERROR(VLOOKUP(10*tblRiskRegister19[[#This Row],[Risk Treatment Safeguard Maturity Score]]+tblRiskRegister19[[#This Row],[VCDB Index]],tblHITIndexWeightTable[],4,FALSE),"")</f>
        <v>2</v>
      </c>
      <c r="U71" s="174">
        <f>VLOOKUP(tblRiskRegister19[[#This Row],[Asset Class]],tblImpactIndex21[],2,FALSE)</f>
        <v>2</v>
      </c>
      <c r="V71" s="174">
        <f>VLOOKUP(tblRiskRegister19[[#This Row],[Asset Class]],tblImpactIndex21[],3,FALSE)</f>
        <v>2</v>
      </c>
      <c r="W71" s="174">
        <f>VLOOKUP(tblRiskRegister19[[#This Row],[Asset Class]],tblImpactIndex21[],4,FALSE)</f>
        <v>3</v>
      </c>
      <c r="X71" s="174">
        <f>IFERROR(MAX(tblRiskRegister19[[#This Row],[Risk Treatment Safeguard Impact to Mission]:[Risk Treatment Safeguard Impact to Obligations]])*tblRiskRegister19[[#This Row],[Risk Treatment
Safeguard Expectancy Score]],"")</f>
        <v>6</v>
      </c>
      <c r="Y71" s="174" t="str">
        <f>IF(tblRiskRegister19[[#This Row],[Risk Score]]&gt;5,IF(tblRiskRegister19[[#This Row],[Risk Treatment Safeguard Risk Score]]&lt;6, IF(tblRiskRegister19[[#This Row],[Risk Treatment Safeguard Risk Score]]&lt;=tblRiskRegister19[[#This Row],[Risk Score]],"Yes","No"),"No"),"Yes")</f>
        <v>No</v>
      </c>
      <c r="Z71" s="175"/>
      <c r="AA71" s="175"/>
      <c r="AB71" s="176"/>
      <c r="AC71" s="149"/>
      <c r="AD71" s="149"/>
      <c r="AE71" s="149"/>
      <c r="AF71" s="149"/>
    </row>
    <row r="72" spans="2:32" ht="38.25" x14ac:dyDescent="0.2">
      <c r="B72" s="29">
        <v>17.899999999999999</v>
      </c>
      <c r="C72" s="23" t="s">
        <v>41</v>
      </c>
      <c r="D72" s="233" t="s">
        <v>454</v>
      </c>
      <c r="E72" s="203" t="s">
        <v>150</v>
      </c>
      <c r="F72" s="170">
        <v>5</v>
      </c>
      <c r="G72" s="171">
        <f>IFERROR(VLOOKUP(tblRiskRegister19[[#This Row],[Asset Class]],tblVCDBIndex[],4,FALSE),"")</f>
        <v>3</v>
      </c>
      <c r="H72" s="171">
        <f>IFERROR(VLOOKUP(10*tblRiskRegister19[[#This Row],[Safeguard Maturity Score]]+tblRiskRegister19[[#This Row],[VCDB Index]],tblHITIndexWeightTable[],4,FALSE),"")</f>
        <v>1</v>
      </c>
      <c r="I72" s="171">
        <f>VLOOKUP(tblRiskRegister19[[#This Row],[Asset Class]],tblImpactIndex21[],2,FALSE)</f>
        <v>2</v>
      </c>
      <c r="J72" s="171">
        <f>VLOOKUP(tblRiskRegister19[[#This Row],[Asset Class]],tblImpactIndex21[],3,FALSE)</f>
        <v>2</v>
      </c>
      <c r="K72" s="171">
        <f>VLOOKUP(tblRiskRegister19[[#This Row],[Asset Class]],tblImpactIndex21[],4,FALSE)</f>
        <v>3</v>
      </c>
      <c r="L72" s="171">
        <f>IFERROR(MAX(tblRiskRegister19[[#This Row],[Impact to Mission]:[Impact to Obligations]])*tblRiskRegister19[[#This Row],[Expectancy Score]],"")</f>
        <v>3</v>
      </c>
      <c r="M72" s="171">
        <f>tblRiskRegister19[[#This Row],[Risk Score]]</f>
        <v>3</v>
      </c>
      <c r="N72" s="172" t="s">
        <v>269</v>
      </c>
      <c r="O72" s="29"/>
      <c r="P72" s="24" t="s">
        <v>41</v>
      </c>
      <c r="Q72" s="24" t="s">
        <v>205</v>
      </c>
      <c r="R72" s="170"/>
      <c r="S72" s="170"/>
      <c r="T72" s="174" t="str">
        <f>IFERROR(VLOOKUP(10*tblRiskRegister19[[#This Row],[Risk Treatment Safeguard Maturity Score]]+tblRiskRegister19[[#This Row],[VCDB Index]],tblHITIndexWeightTable[],4,FALSE),"")</f>
        <v/>
      </c>
      <c r="U72" s="174">
        <f>VLOOKUP(tblRiskRegister19[[#This Row],[Asset Class]],tblImpactIndex21[],2,FALSE)</f>
        <v>2</v>
      </c>
      <c r="V72" s="174">
        <f>VLOOKUP(tblRiskRegister19[[#This Row],[Asset Class]],tblImpactIndex21[],3,FALSE)</f>
        <v>2</v>
      </c>
      <c r="W72" s="174">
        <f>VLOOKUP(tblRiskRegister19[[#This Row],[Asset Class]],tblImpactIndex21[],4,FALSE)</f>
        <v>3</v>
      </c>
      <c r="X72" s="174" t="str">
        <f>IFERROR(MAX(tblRiskRegister19[[#This Row],[Risk Treatment Safeguard Impact to Mission]:[Risk Treatment Safeguard Impact to Obligations]])*tblRiskRegister19[[#This Row],[Risk Treatment
Safeguard Expectancy Score]],"")</f>
        <v/>
      </c>
      <c r="Y72" s="174" t="str">
        <f>IF(tblRiskRegister19[[#This Row],[Risk Score]]&gt;5,IF(tblRiskRegister19[[#This Row],[Risk Treatment Safeguard Risk Score]]&lt;6, IF(tblRiskRegister19[[#This Row],[Risk Treatment Safeguard Risk Score]]&lt;=tblRiskRegister19[[#This Row],[Risk Score]],"Yes","No"),"No"),"Yes")</f>
        <v>Yes</v>
      </c>
      <c r="Z72" s="175"/>
      <c r="AA72" s="175"/>
      <c r="AB72" s="176"/>
      <c r="AC72" s="149"/>
      <c r="AD72" s="149"/>
      <c r="AE72" s="149"/>
      <c r="AF72" s="149"/>
    </row>
    <row r="73" spans="2:32" ht="38.25" x14ac:dyDescent="0.2">
      <c r="B73" s="29">
        <v>19.100000000000001</v>
      </c>
      <c r="C73" s="23" t="s">
        <v>42</v>
      </c>
      <c r="D73" s="233" t="s">
        <v>454</v>
      </c>
      <c r="E73" s="203" t="s">
        <v>151</v>
      </c>
      <c r="F73" s="170">
        <v>2</v>
      </c>
      <c r="G73" s="171">
        <f>IFERROR(VLOOKUP(tblRiskRegister19[[#This Row],[Asset Class]],tblVCDBIndex[],4,FALSE),"")</f>
        <v>3</v>
      </c>
      <c r="H73" s="171">
        <f>IFERROR(VLOOKUP(10*tblRiskRegister19[[#This Row],[Safeguard Maturity Score]]+tblRiskRegister19[[#This Row],[VCDB Index]],tblHITIndexWeightTable[],4,FALSE),"")</f>
        <v>2</v>
      </c>
      <c r="I73" s="171">
        <f>VLOOKUP(tblRiskRegister19[[#This Row],[Asset Class]],tblImpactIndex21[],2,FALSE)</f>
        <v>2</v>
      </c>
      <c r="J73" s="171">
        <f>VLOOKUP(tblRiskRegister19[[#This Row],[Asset Class]],tblImpactIndex21[],3,FALSE)</f>
        <v>2</v>
      </c>
      <c r="K73" s="171">
        <f>VLOOKUP(tblRiskRegister19[[#This Row],[Asset Class]],tblImpactIndex21[],4,FALSE)</f>
        <v>3</v>
      </c>
      <c r="L73" s="171">
        <f>IFERROR(MAX(tblRiskRegister19[[#This Row],[Impact to Mission]:[Impact to Obligations]])*tblRiskRegister19[[#This Row],[Expectancy Score]],"")</f>
        <v>6</v>
      </c>
      <c r="M73" s="171">
        <f>tblRiskRegister19[[#This Row],[Risk Score]]</f>
        <v>6</v>
      </c>
      <c r="N73" s="172" t="s">
        <v>268</v>
      </c>
      <c r="O73" s="29">
        <v>19.100000000000001</v>
      </c>
      <c r="P73" s="24" t="s">
        <v>42</v>
      </c>
      <c r="Q73" s="24" t="s">
        <v>387</v>
      </c>
      <c r="R73" s="170"/>
      <c r="S73" s="170">
        <v>2</v>
      </c>
      <c r="T73" s="174">
        <f>IFERROR(VLOOKUP(10*tblRiskRegister19[[#This Row],[Risk Treatment Safeguard Maturity Score]]+tblRiskRegister19[[#This Row],[VCDB Index]],tblHITIndexWeightTable[],4,FALSE),"")</f>
        <v>2</v>
      </c>
      <c r="U73" s="174">
        <f>VLOOKUP(tblRiskRegister19[[#This Row],[Asset Class]],tblImpactIndex21[],2,FALSE)</f>
        <v>2</v>
      </c>
      <c r="V73" s="174">
        <f>VLOOKUP(tblRiskRegister19[[#This Row],[Asset Class]],tblImpactIndex21[],3,FALSE)</f>
        <v>2</v>
      </c>
      <c r="W73" s="174">
        <f>VLOOKUP(tblRiskRegister19[[#This Row],[Asset Class]],tblImpactIndex21[],4,FALSE)</f>
        <v>3</v>
      </c>
      <c r="X73" s="174">
        <f>IFERROR(MAX(tblRiskRegister19[[#This Row],[Risk Treatment Safeguard Impact to Mission]:[Risk Treatment Safeguard Impact to Obligations]])*tblRiskRegister19[[#This Row],[Risk Treatment
Safeguard Expectancy Score]],"")</f>
        <v>6</v>
      </c>
      <c r="Y73" s="174" t="str">
        <f>IF(tblRiskRegister19[[#This Row],[Risk Score]]&gt;5,IF(tblRiskRegister19[[#This Row],[Risk Treatment Safeguard Risk Score]]&lt;6, IF(tblRiskRegister19[[#This Row],[Risk Treatment Safeguard Risk Score]]&lt;=tblRiskRegister19[[#This Row],[Risk Score]],"Yes","No"),"No"),"Yes")</f>
        <v>No</v>
      </c>
      <c r="Z73" s="175"/>
      <c r="AA73" s="175"/>
      <c r="AB73" s="176"/>
      <c r="AC73" s="149"/>
      <c r="AD73" s="149"/>
      <c r="AE73" s="149"/>
      <c r="AF73" s="149"/>
    </row>
    <row r="74" spans="2:32" ht="38.25" x14ac:dyDescent="0.2">
      <c r="B74" s="29">
        <v>19.3</v>
      </c>
      <c r="C74" s="23" t="s">
        <v>43</v>
      </c>
      <c r="D74" s="233" t="s">
        <v>454</v>
      </c>
      <c r="E74" s="203" t="s">
        <v>151</v>
      </c>
      <c r="F74" s="170">
        <v>1</v>
      </c>
      <c r="G74" s="171">
        <f>IFERROR(VLOOKUP(tblRiskRegister19[[#This Row],[Asset Class]],tblVCDBIndex[],4,FALSE),"")</f>
        <v>3</v>
      </c>
      <c r="H74" s="171">
        <f>IFERROR(VLOOKUP(10*tblRiskRegister19[[#This Row],[Safeguard Maturity Score]]+tblRiskRegister19[[#This Row],[VCDB Index]],tblHITIndexWeightTable[],4,FALSE),"")</f>
        <v>3</v>
      </c>
      <c r="I74" s="171">
        <f>VLOOKUP(tblRiskRegister19[[#This Row],[Asset Class]],tblImpactIndex21[],2,FALSE)</f>
        <v>2</v>
      </c>
      <c r="J74" s="171">
        <f>VLOOKUP(tblRiskRegister19[[#This Row],[Asset Class]],tblImpactIndex21[],3,FALSE)</f>
        <v>2</v>
      </c>
      <c r="K74" s="171">
        <f>VLOOKUP(tblRiskRegister19[[#This Row],[Asset Class]],tblImpactIndex21[],4,FALSE)</f>
        <v>3</v>
      </c>
      <c r="L74" s="171">
        <f>IFERROR(MAX(tblRiskRegister19[[#This Row],[Impact to Mission]:[Impact to Obligations]])*tblRiskRegister19[[#This Row],[Expectancy Score]],"")</f>
        <v>9</v>
      </c>
      <c r="M74" s="171">
        <f>tblRiskRegister19[[#This Row],[Risk Score]]</f>
        <v>9</v>
      </c>
      <c r="N74" s="172" t="s">
        <v>268</v>
      </c>
      <c r="O74" s="29">
        <v>19.3</v>
      </c>
      <c r="P74" s="24" t="s">
        <v>43</v>
      </c>
      <c r="Q74" s="24" t="s">
        <v>206</v>
      </c>
      <c r="R74" s="170"/>
      <c r="S74" s="170">
        <v>1</v>
      </c>
      <c r="T74" s="174">
        <f>IFERROR(VLOOKUP(10*tblRiskRegister19[[#This Row],[Risk Treatment Safeguard Maturity Score]]+tblRiskRegister19[[#This Row],[VCDB Index]],tblHITIndexWeightTable[],4,FALSE),"")</f>
        <v>3</v>
      </c>
      <c r="U74" s="174">
        <f>VLOOKUP(tblRiskRegister19[[#This Row],[Asset Class]],tblImpactIndex21[],2,FALSE)</f>
        <v>2</v>
      </c>
      <c r="V74" s="174">
        <f>VLOOKUP(tblRiskRegister19[[#This Row],[Asset Class]],tblImpactIndex21[],3,FALSE)</f>
        <v>2</v>
      </c>
      <c r="W74" s="174">
        <f>VLOOKUP(tblRiskRegister19[[#This Row],[Asset Class]],tblImpactIndex21[],4,FALSE)</f>
        <v>3</v>
      </c>
      <c r="X74" s="174">
        <f>IFERROR(MAX(tblRiskRegister19[[#This Row],[Risk Treatment Safeguard Impact to Mission]:[Risk Treatment Safeguard Impact to Obligations]])*tblRiskRegister19[[#This Row],[Risk Treatment
Safeguard Expectancy Score]],"")</f>
        <v>9</v>
      </c>
      <c r="Y74" s="174" t="str">
        <f>IF(tblRiskRegister19[[#This Row],[Risk Score]]&gt;5,IF(tblRiskRegister19[[#This Row],[Risk Treatment Safeguard Risk Score]]&lt;6, IF(tblRiskRegister19[[#This Row],[Risk Treatment Safeguard Risk Score]]&lt;=tblRiskRegister19[[#This Row],[Risk Score]],"Yes","No"),"No"),"Yes")</f>
        <v>No</v>
      </c>
      <c r="Z74" s="175"/>
      <c r="AA74" s="175"/>
      <c r="AB74" s="176"/>
      <c r="AC74" s="149"/>
      <c r="AD74" s="149"/>
      <c r="AE74" s="149"/>
      <c r="AF74" s="149"/>
    </row>
    <row r="75" spans="2:32" ht="51" x14ac:dyDescent="0.2">
      <c r="B75" s="29">
        <v>19.5</v>
      </c>
      <c r="C75" s="23" t="s">
        <v>44</v>
      </c>
      <c r="D75" s="233" t="s">
        <v>454</v>
      </c>
      <c r="E75" s="203" t="s">
        <v>151</v>
      </c>
      <c r="F75" s="170">
        <v>1</v>
      </c>
      <c r="G75" s="171">
        <f>IFERROR(VLOOKUP(tblRiskRegister19[[#This Row],[Asset Class]],tblVCDBIndex[],4,FALSE),"")</f>
        <v>3</v>
      </c>
      <c r="H75" s="171">
        <f>IFERROR(VLOOKUP(10*tblRiskRegister19[[#This Row],[Safeguard Maturity Score]]+tblRiskRegister19[[#This Row],[VCDB Index]],tblHITIndexWeightTable[],4,FALSE),"")</f>
        <v>3</v>
      </c>
      <c r="I75" s="171">
        <f>VLOOKUP(tblRiskRegister19[[#This Row],[Asset Class]],tblImpactIndex21[],2,FALSE)</f>
        <v>2</v>
      </c>
      <c r="J75" s="171">
        <f>VLOOKUP(tblRiskRegister19[[#This Row],[Asset Class]],tblImpactIndex21[],3,FALSE)</f>
        <v>2</v>
      </c>
      <c r="K75" s="171">
        <f>VLOOKUP(tblRiskRegister19[[#This Row],[Asset Class]],tblImpactIndex21[],4,FALSE)</f>
        <v>3</v>
      </c>
      <c r="L75" s="171">
        <f>IFERROR(MAX(tblRiskRegister19[[#This Row],[Impact to Mission]:[Impact to Obligations]])*tblRiskRegister19[[#This Row],[Expectancy Score]],"")</f>
        <v>9</v>
      </c>
      <c r="M75" s="171">
        <f>tblRiskRegister19[[#This Row],[Risk Score]]</f>
        <v>9</v>
      </c>
      <c r="N75" s="172" t="s">
        <v>268</v>
      </c>
      <c r="O75" s="29">
        <v>19.5</v>
      </c>
      <c r="P75" s="24" t="s">
        <v>44</v>
      </c>
      <c r="Q75" s="24" t="s">
        <v>207</v>
      </c>
      <c r="R75" s="170"/>
      <c r="S75" s="170">
        <v>1</v>
      </c>
      <c r="T75" s="174">
        <f>IFERROR(VLOOKUP(10*tblRiskRegister19[[#This Row],[Risk Treatment Safeguard Maturity Score]]+tblRiskRegister19[[#This Row],[VCDB Index]],tblHITIndexWeightTable[],4,FALSE),"")</f>
        <v>3</v>
      </c>
      <c r="U75" s="174">
        <f>VLOOKUP(tblRiskRegister19[[#This Row],[Asset Class]],tblImpactIndex21[],2,FALSE)</f>
        <v>2</v>
      </c>
      <c r="V75" s="174">
        <f>VLOOKUP(tblRiskRegister19[[#This Row],[Asset Class]],tblImpactIndex21[],3,FALSE)</f>
        <v>2</v>
      </c>
      <c r="W75" s="174">
        <f>VLOOKUP(tblRiskRegister19[[#This Row],[Asset Class]],tblImpactIndex21[],4,FALSE)</f>
        <v>3</v>
      </c>
      <c r="X75" s="174">
        <f>IFERROR(MAX(tblRiskRegister19[[#This Row],[Risk Treatment Safeguard Impact to Mission]:[Risk Treatment Safeguard Impact to Obligations]])*tblRiskRegister19[[#This Row],[Risk Treatment
Safeguard Expectancy Score]],"")</f>
        <v>9</v>
      </c>
      <c r="Y75" s="174" t="str">
        <f>IF(tblRiskRegister19[[#This Row],[Risk Score]]&gt;5,IF(tblRiskRegister19[[#This Row],[Risk Treatment Safeguard Risk Score]]&lt;6, IF(tblRiskRegister19[[#This Row],[Risk Treatment Safeguard Risk Score]]&lt;=tblRiskRegister19[[#This Row],[Risk Score]],"Yes","No"),"No"),"Yes")</f>
        <v>No</v>
      </c>
      <c r="Z75" s="175"/>
      <c r="AA75" s="175"/>
      <c r="AB75" s="176"/>
      <c r="AC75" s="149"/>
      <c r="AD75" s="149"/>
      <c r="AE75" s="149"/>
      <c r="AF75" s="149"/>
    </row>
    <row r="76" spans="2:32" ht="51" x14ac:dyDescent="0.2">
      <c r="B76" s="29">
        <v>19.600000000000001</v>
      </c>
      <c r="C76" s="23" t="s">
        <v>45</v>
      </c>
      <c r="D76" s="233" t="s">
        <v>454</v>
      </c>
      <c r="E76" s="203" t="s">
        <v>151</v>
      </c>
      <c r="F76" s="170">
        <v>3</v>
      </c>
      <c r="G76" s="171">
        <f>IFERROR(VLOOKUP(tblRiskRegister19[[#This Row],[Asset Class]],tblVCDBIndex[],4,FALSE),"")</f>
        <v>3</v>
      </c>
      <c r="H76" s="171">
        <f>IFERROR(VLOOKUP(10*tblRiskRegister19[[#This Row],[Safeguard Maturity Score]]+tblRiskRegister19[[#This Row],[VCDB Index]],tblHITIndexWeightTable[],4,FALSE),"")</f>
        <v>2</v>
      </c>
      <c r="I76" s="171">
        <f>VLOOKUP(tblRiskRegister19[[#This Row],[Asset Class]],tblImpactIndex21[],2,FALSE)</f>
        <v>2</v>
      </c>
      <c r="J76" s="171">
        <f>VLOOKUP(tblRiskRegister19[[#This Row],[Asset Class]],tblImpactIndex21[],3,FALSE)</f>
        <v>2</v>
      </c>
      <c r="K76" s="171">
        <f>VLOOKUP(tblRiskRegister19[[#This Row],[Asset Class]],tblImpactIndex21[],4,FALSE)</f>
        <v>3</v>
      </c>
      <c r="L76" s="171">
        <f>IFERROR(MAX(tblRiskRegister19[[#This Row],[Impact to Mission]:[Impact to Obligations]])*tblRiskRegister19[[#This Row],[Expectancy Score]],"")</f>
        <v>6</v>
      </c>
      <c r="M76" s="171">
        <f>tblRiskRegister19[[#This Row],[Risk Score]]</f>
        <v>6</v>
      </c>
      <c r="N76" s="172" t="s">
        <v>268</v>
      </c>
      <c r="O76" s="29">
        <v>19.600000000000001</v>
      </c>
      <c r="P76" s="24" t="s">
        <v>45</v>
      </c>
      <c r="Q76" s="24" t="s">
        <v>208</v>
      </c>
      <c r="R76" s="170"/>
      <c r="S76" s="170">
        <v>3</v>
      </c>
      <c r="T76" s="174">
        <f>IFERROR(VLOOKUP(10*tblRiskRegister19[[#This Row],[Risk Treatment Safeguard Maturity Score]]+tblRiskRegister19[[#This Row],[VCDB Index]],tblHITIndexWeightTable[],4,FALSE),"")</f>
        <v>2</v>
      </c>
      <c r="U76" s="174">
        <f>VLOOKUP(tblRiskRegister19[[#This Row],[Asset Class]],tblImpactIndex21[],2,FALSE)</f>
        <v>2</v>
      </c>
      <c r="V76" s="174">
        <f>VLOOKUP(tblRiskRegister19[[#This Row],[Asset Class]],tblImpactIndex21[],3,FALSE)</f>
        <v>2</v>
      </c>
      <c r="W76" s="174">
        <f>VLOOKUP(tblRiskRegister19[[#This Row],[Asset Class]],tblImpactIndex21[],4,FALSE)</f>
        <v>3</v>
      </c>
      <c r="X76" s="174">
        <f>IFERROR(MAX(tblRiskRegister19[[#This Row],[Risk Treatment Safeguard Impact to Mission]:[Risk Treatment Safeguard Impact to Obligations]])*tblRiskRegister19[[#This Row],[Risk Treatment
Safeguard Expectancy Score]],"")</f>
        <v>6</v>
      </c>
      <c r="Y76" s="174" t="str">
        <f>IF(tblRiskRegister19[[#This Row],[Risk Score]]&gt;5,IF(tblRiskRegister19[[#This Row],[Risk Treatment Safeguard Risk Score]]&lt;6, IF(tblRiskRegister19[[#This Row],[Risk Treatment Safeguard Risk Score]]&lt;=tblRiskRegister19[[#This Row],[Risk Score]],"Yes","No"),"No"),"Yes")</f>
        <v>No</v>
      </c>
      <c r="Z76" s="175"/>
      <c r="AA76" s="175"/>
      <c r="AB76" s="176"/>
      <c r="AC76" s="149"/>
      <c r="AD76" s="149"/>
      <c r="AE76" s="149"/>
      <c r="AF76" s="149"/>
    </row>
  </sheetData>
  <sheetProtection sheet="1" formatCells="0" formatColumns="0" formatRows="0" sort="0" autoFilter="0" pivotTables="0"/>
  <mergeCells count="13">
    <mergeCell ref="B2:B4"/>
    <mergeCell ref="D2:E2"/>
    <mergeCell ref="D3:E3"/>
    <mergeCell ref="D4:E4"/>
    <mergeCell ref="C8:F8"/>
    <mergeCell ref="H8:N11"/>
    <mergeCell ref="N31:AB31"/>
    <mergeCell ref="AD31:AF31"/>
    <mergeCell ref="C18:E18"/>
    <mergeCell ref="H18:H26"/>
    <mergeCell ref="F20:G20"/>
    <mergeCell ref="F21:G26"/>
    <mergeCell ref="C31:L31"/>
  </mergeCells>
  <conditionalFormatting sqref="M34:N76">
    <cfRule type="iconSet" priority="1">
      <iconSet showValue="0" reverse="1">
        <cfvo type="percent" val="0"/>
        <cfvo type="num" val="6"/>
        <cfvo type="num" val="6" gte="0"/>
      </iconSet>
    </cfRule>
    <cfRule type="iconSet" priority="2">
      <iconSet showValue="0" reverse="1">
        <cfvo type="percent" val="0"/>
        <cfvo type="num" val="6"/>
        <cfvo type="num" val="15"/>
      </iconSet>
    </cfRule>
    <cfRule type="iconSet" priority="3">
      <iconSet>
        <cfvo type="percent" val="0"/>
        <cfvo type="percent" val="33"/>
        <cfvo type="percent" val="67"/>
      </iconSet>
    </cfRule>
  </conditionalFormatting>
  <dataValidations count="6">
    <dataValidation type="list" allowBlank="1" showInputMessage="1" showErrorMessage="1" sqref="N34:N76" xr:uid="{C914A37F-B1EC-4B23-82FF-64B61F27E33D}">
      <formula1>"Accept,Reduce"</formula1>
    </dataValidation>
    <dataValidation type="list" allowBlank="1" showInputMessage="1" showErrorMessage="1" sqref="C21:E26" xr:uid="{D311E7D3-38F9-43DC-8FDF-66065B051F58}">
      <formula1>"1,2,3"</formula1>
    </dataValidation>
    <dataValidation type="list" allowBlank="1" showInputMessage="1" showErrorMessage="1" sqref="AA34:AA76" xr:uid="{7025ADA1-D975-42A3-9C05-DD9ADEF3315B}">
      <formula1>"Q1, Q2, Q3, Q4"</formula1>
    </dataValidation>
    <dataValidation type="list" allowBlank="1" showInputMessage="1" showErrorMessage="1" sqref="E34:E76" xr:uid="{DA6CEA2F-74E6-4F2D-A8B3-6B999E0900DE}">
      <formula1>Asset_Class</formula1>
    </dataValidation>
    <dataValidation type="list" allowBlank="1" showInputMessage="1" showErrorMessage="1" sqref="AB34:AB76" xr:uid="{3F3EDC9F-0AC8-4048-8212-D8859E70B976}">
      <formula1>"2021,2022,2023,2024,2025,2026,2027,2028,2029,2030,2031"</formula1>
    </dataValidation>
    <dataValidation type="list" allowBlank="1" showInputMessage="1" showErrorMessage="1" sqref="F34:F76 R42:S76 S34:S41" xr:uid="{1D7DA1FE-744E-466C-9DDF-4F3E608B917B}">
      <formula1>Maturity_Score</formula1>
    </dataValidation>
  </dataValidations>
  <pageMargins left="0.7" right="0.7" top="0.75" bottom="0.75" header="0.3" footer="0.3"/>
  <pageSetup orientation="portrait" r:id="rId1"/>
  <legacyDrawing r:id="rId2"/>
  <tableParts count="4">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4DF1-E07F-4D75-A464-B476FC2DFCC8}">
  <sheetPr codeName="Sheet10">
    <tabColor rgb="FFFF0000"/>
  </sheetPr>
  <dimension ref="B1:W60"/>
  <sheetViews>
    <sheetView showGridLines="0" workbookViewId="0">
      <selection activeCell="B1" sqref="B1:J1"/>
    </sheetView>
  </sheetViews>
  <sheetFormatPr defaultColWidth="9.140625" defaultRowHeight="12.75" x14ac:dyDescent="0.2"/>
  <cols>
    <col min="1" max="1" width="4.5703125" style="149" customWidth="1"/>
    <col min="2" max="2" width="18.7109375" style="168" customWidth="1"/>
    <col min="3" max="3" width="15.5703125" style="180" customWidth="1"/>
    <col min="4" max="4" width="17.7109375" style="180" customWidth="1"/>
    <col min="5" max="5" width="19.140625" style="180" customWidth="1"/>
    <col min="6" max="6" width="5.7109375" style="149" customWidth="1"/>
    <col min="7" max="7" width="17.7109375" style="181" customWidth="1"/>
    <col min="8" max="9" width="15.7109375" style="180" customWidth="1"/>
    <col min="10" max="10" width="16.7109375" style="180" customWidth="1"/>
    <col min="11" max="16384" width="9.140625" style="149"/>
  </cols>
  <sheetData>
    <row r="1" spans="2:23" ht="57" customHeight="1" thickBot="1" x14ac:dyDescent="0.4">
      <c r="B1" s="319" t="s">
        <v>355</v>
      </c>
      <c r="C1" s="320"/>
      <c r="D1" s="320"/>
      <c r="E1" s="320"/>
      <c r="F1" s="320"/>
      <c r="G1" s="320"/>
      <c r="H1" s="320"/>
      <c r="I1" s="320"/>
      <c r="J1" s="321"/>
      <c r="L1" s="179"/>
      <c r="M1" s="179"/>
      <c r="N1" s="179"/>
      <c r="O1" s="179"/>
      <c r="P1" s="179"/>
    </row>
    <row r="2" spans="2:23" ht="13.5" thickBot="1" x14ac:dyDescent="0.25"/>
    <row r="3" spans="2:23" ht="26.25" customHeight="1" thickBot="1" x14ac:dyDescent="0.25">
      <c r="B3" s="316" t="s">
        <v>357</v>
      </c>
      <c r="C3" s="317"/>
      <c r="D3" s="317"/>
      <c r="E3" s="318"/>
      <c r="G3" s="316" t="s">
        <v>356</v>
      </c>
      <c r="H3" s="317"/>
      <c r="I3" s="317"/>
      <c r="J3" s="318"/>
    </row>
    <row r="4" spans="2:23" ht="25.5" customHeight="1" thickTop="1" thickBot="1" x14ac:dyDescent="0.25">
      <c r="B4" s="182" t="s">
        <v>306</v>
      </c>
      <c r="C4" s="147" t="s">
        <v>307</v>
      </c>
      <c r="D4" s="147" t="s">
        <v>308</v>
      </c>
      <c r="E4" s="183" t="s">
        <v>351</v>
      </c>
      <c r="F4" s="184"/>
      <c r="G4" s="182" t="s">
        <v>309</v>
      </c>
      <c r="H4" s="147" t="s">
        <v>307</v>
      </c>
      <c r="I4" s="147" t="s">
        <v>308</v>
      </c>
      <c r="J4" s="183" t="s">
        <v>351</v>
      </c>
      <c r="K4" s="184"/>
      <c r="L4" s="303" t="s">
        <v>365</v>
      </c>
      <c r="M4" s="303"/>
      <c r="N4" s="303"/>
      <c r="O4" s="303"/>
      <c r="P4" s="303"/>
      <c r="Q4" s="303"/>
      <c r="R4" s="303"/>
      <c r="S4" s="303"/>
      <c r="T4" s="303"/>
      <c r="U4" s="205"/>
      <c r="V4" s="205"/>
      <c r="W4" s="204"/>
    </row>
    <row r="5" spans="2:23" s="184" customFormat="1" ht="13.5" customHeight="1" thickTop="1" x14ac:dyDescent="0.2">
      <c r="B5" s="116">
        <v>1.4</v>
      </c>
      <c r="C5" s="116" t="s">
        <v>314</v>
      </c>
      <c r="D5" s="116" t="str">
        <f>LEFT($C5, 1)</f>
        <v>5</v>
      </c>
      <c r="E5" s="185" t="str">
        <f>D5</f>
        <v>5</v>
      </c>
      <c r="F5" s="149"/>
      <c r="G5" s="116">
        <v>1.1000000000000001</v>
      </c>
      <c r="H5" s="116" t="s">
        <v>314</v>
      </c>
      <c r="I5" s="116" t="str">
        <f>LEFT($H5, 1)</f>
        <v>5</v>
      </c>
      <c r="J5" s="185" t="str">
        <f>I5</f>
        <v>5</v>
      </c>
      <c r="K5" s="149"/>
      <c r="L5" s="303"/>
      <c r="M5" s="303"/>
      <c r="N5" s="303"/>
      <c r="O5" s="303"/>
      <c r="P5" s="303"/>
      <c r="Q5" s="303"/>
      <c r="R5" s="303"/>
      <c r="S5" s="303"/>
      <c r="T5" s="303"/>
      <c r="U5" s="205"/>
      <c r="V5" s="205"/>
      <c r="W5" s="204"/>
    </row>
    <row r="6" spans="2:23" ht="12.75" customHeight="1" x14ac:dyDescent="0.2">
      <c r="B6" s="117">
        <v>1.6</v>
      </c>
      <c r="C6" s="117" t="s">
        <v>319</v>
      </c>
      <c r="D6" s="117" t="str">
        <f t="shared" ref="D6:D47" si="0">LEFT($C6, 1)</f>
        <v>3</v>
      </c>
      <c r="E6" s="186" t="str">
        <f t="shared" ref="E6:E47" si="1">D6</f>
        <v>3</v>
      </c>
      <c r="G6" s="117">
        <v>1.2</v>
      </c>
      <c r="H6" s="117" t="s">
        <v>319</v>
      </c>
      <c r="I6" s="117" t="str">
        <f t="shared" ref="I6:I60" si="2">LEFT($H6, 1)</f>
        <v>3</v>
      </c>
      <c r="J6" s="186" t="str">
        <f t="shared" ref="J6:J60" si="3">I6</f>
        <v>3</v>
      </c>
      <c r="L6" s="303"/>
      <c r="M6" s="303"/>
      <c r="N6" s="303"/>
      <c r="O6" s="303"/>
      <c r="P6" s="303"/>
      <c r="Q6" s="303"/>
      <c r="R6" s="303"/>
      <c r="S6" s="303"/>
      <c r="T6" s="303"/>
      <c r="U6" s="205"/>
      <c r="V6" s="205"/>
      <c r="W6" s="204"/>
    </row>
    <row r="7" spans="2:23" ht="12.75" customHeight="1" x14ac:dyDescent="0.2">
      <c r="B7" s="116">
        <v>2.1</v>
      </c>
      <c r="C7" s="116" t="s">
        <v>324</v>
      </c>
      <c r="D7" s="116" t="str">
        <f t="shared" si="0"/>
        <v>4</v>
      </c>
      <c r="E7" s="187" t="str">
        <f t="shared" si="1"/>
        <v>4</v>
      </c>
      <c r="G7" s="116">
        <v>2.1</v>
      </c>
      <c r="H7" s="116" t="s">
        <v>324</v>
      </c>
      <c r="I7" s="116" t="str">
        <f t="shared" si="2"/>
        <v>4</v>
      </c>
      <c r="J7" s="187" t="str">
        <f t="shared" si="3"/>
        <v>4</v>
      </c>
      <c r="L7" s="303"/>
      <c r="M7" s="303"/>
      <c r="N7" s="303"/>
      <c r="O7" s="303"/>
      <c r="P7" s="303"/>
      <c r="Q7" s="303"/>
      <c r="R7" s="303"/>
      <c r="S7" s="303"/>
      <c r="T7" s="303"/>
      <c r="U7" s="205"/>
      <c r="V7" s="205"/>
      <c r="W7" s="204"/>
    </row>
    <row r="8" spans="2:23" ht="12.75" customHeight="1" x14ac:dyDescent="0.2">
      <c r="B8" s="117">
        <v>2.2000000000000002</v>
      </c>
      <c r="C8" s="117" t="s">
        <v>319</v>
      </c>
      <c r="D8" s="117" t="str">
        <f t="shared" si="0"/>
        <v>3</v>
      </c>
      <c r="E8" s="186" t="str">
        <f t="shared" si="1"/>
        <v>3</v>
      </c>
      <c r="G8" s="117">
        <v>2.2000000000000002</v>
      </c>
      <c r="H8" s="117" t="s">
        <v>319</v>
      </c>
      <c r="I8" s="117" t="str">
        <f t="shared" si="2"/>
        <v>3</v>
      </c>
      <c r="J8" s="186" t="str">
        <f t="shared" si="3"/>
        <v>3</v>
      </c>
      <c r="L8" s="303"/>
      <c r="M8" s="303"/>
      <c r="N8" s="303"/>
      <c r="O8" s="303"/>
      <c r="P8" s="303"/>
      <c r="Q8" s="303"/>
      <c r="R8" s="303"/>
      <c r="S8" s="303"/>
      <c r="T8" s="303"/>
      <c r="U8" s="205"/>
      <c r="V8" s="205"/>
      <c r="W8" s="204"/>
    </row>
    <row r="9" spans="2:23" ht="12.75" customHeight="1" x14ac:dyDescent="0.2">
      <c r="B9" s="116">
        <v>2.6</v>
      </c>
      <c r="C9" s="116" t="s">
        <v>328</v>
      </c>
      <c r="D9" s="116" t="str">
        <f t="shared" si="0"/>
        <v>2</v>
      </c>
      <c r="E9" s="187" t="str">
        <f t="shared" si="1"/>
        <v>2</v>
      </c>
      <c r="G9" s="116">
        <v>2.2999999999999998</v>
      </c>
      <c r="H9" s="116" t="s">
        <v>328</v>
      </c>
      <c r="I9" s="116" t="str">
        <f t="shared" si="2"/>
        <v>2</v>
      </c>
      <c r="J9" s="187" t="str">
        <f t="shared" si="3"/>
        <v>2</v>
      </c>
      <c r="L9" s="303"/>
      <c r="M9" s="303"/>
      <c r="N9" s="303"/>
      <c r="O9" s="303"/>
      <c r="P9" s="303"/>
      <c r="Q9" s="303"/>
      <c r="R9" s="303"/>
      <c r="S9" s="303"/>
      <c r="T9" s="303"/>
      <c r="U9" s="205"/>
      <c r="V9" s="205"/>
      <c r="W9" s="204"/>
    </row>
    <row r="10" spans="2:23" ht="12.75" customHeight="1" x14ac:dyDescent="0.2">
      <c r="B10" s="117">
        <v>3.4</v>
      </c>
      <c r="C10" s="117" t="s">
        <v>324</v>
      </c>
      <c r="D10" s="117" t="str">
        <f t="shared" si="0"/>
        <v>4</v>
      </c>
      <c r="E10" s="186" t="str">
        <f t="shared" si="1"/>
        <v>4</v>
      </c>
      <c r="G10" s="117">
        <v>3.1</v>
      </c>
      <c r="H10" s="117" t="s">
        <v>324</v>
      </c>
      <c r="I10" s="117" t="str">
        <f t="shared" si="2"/>
        <v>4</v>
      </c>
      <c r="J10" s="186" t="str">
        <f t="shared" si="3"/>
        <v>4</v>
      </c>
      <c r="L10" s="303"/>
      <c r="M10" s="303"/>
      <c r="N10" s="303"/>
      <c r="O10" s="303"/>
      <c r="P10" s="303"/>
      <c r="Q10" s="303"/>
      <c r="R10" s="303"/>
      <c r="S10" s="303"/>
      <c r="T10" s="303"/>
      <c r="U10" s="205"/>
      <c r="V10" s="205"/>
      <c r="W10" s="204"/>
    </row>
    <row r="11" spans="2:23" ht="12.75" customHeight="1" x14ac:dyDescent="0.2">
      <c r="B11" s="116">
        <v>3.5</v>
      </c>
      <c r="C11" s="116" t="s">
        <v>324</v>
      </c>
      <c r="D11" s="116" t="str">
        <f t="shared" si="0"/>
        <v>4</v>
      </c>
      <c r="E11" s="187" t="str">
        <f t="shared" si="1"/>
        <v>4</v>
      </c>
      <c r="G11" s="116">
        <v>3.2</v>
      </c>
      <c r="H11" s="116" t="s">
        <v>324</v>
      </c>
      <c r="I11" s="116" t="str">
        <f t="shared" si="2"/>
        <v>4</v>
      </c>
      <c r="J11" s="187" t="str">
        <f t="shared" si="3"/>
        <v>4</v>
      </c>
      <c r="L11" s="303"/>
      <c r="M11" s="303"/>
      <c r="N11" s="303"/>
      <c r="O11" s="303"/>
      <c r="P11" s="303"/>
      <c r="Q11" s="303"/>
      <c r="R11" s="303"/>
      <c r="S11" s="303"/>
      <c r="T11" s="303"/>
      <c r="U11" s="205"/>
      <c r="V11" s="205"/>
      <c r="W11" s="204"/>
    </row>
    <row r="12" spans="2:23" ht="12.75" customHeight="1" x14ac:dyDescent="0.2">
      <c r="B12" s="117">
        <v>4.2</v>
      </c>
      <c r="C12" s="117" t="s">
        <v>328</v>
      </c>
      <c r="D12" s="117" t="str">
        <f t="shared" si="0"/>
        <v>2</v>
      </c>
      <c r="E12" s="186" t="str">
        <f t="shared" si="1"/>
        <v>2</v>
      </c>
      <c r="G12" s="117">
        <v>3.3</v>
      </c>
      <c r="H12" s="117" t="s">
        <v>328</v>
      </c>
      <c r="I12" s="117" t="str">
        <f t="shared" si="2"/>
        <v>2</v>
      </c>
      <c r="J12" s="186" t="str">
        <f t="shared" si="3"/>
        <v>2</v>
      </c>
      <c r="L12" s="303"/>
      <c r="M12" s="303"/>
      <c r="N12" s="303"/>
      <c r="O12" s="303"/>
      <c r="P12" s="303"/>
      <c r="Q12" s="303"/>
      <c r="R12" s="303"/>
      <c r="S12" s="303"/>
      <c r="T12" s="303"/>
      <c r="U12" s="205"/>
      <c r="V12" s="205"/>
      <c r="W12" s="204"/>
    </row>
    <row r="13" spans="2:23" ht="12.75" customHeight="1" x14ac:dyDescent="0.2">
      <c r="B13" s="116">
        <v>4.3</v>
      </c>
      <c r="C13" s="116" t="s">
        <v>328</v>
      </c>
      <c r="D13" s="116" t="str">
        <f t="shared" si="0"/>
        <v>2</v>
      </c>
      <c r="E13" s="187" t="str">
        <f t="shared" si="1"/>
        <v>2</v>
      </c>
      <c r="G13" s="116">
        <v>3.4</v>
      </c>
      <c r="H13" s="116" t="s">
        <v>328</v>
      </c>
      <c r="I13" s="116" t="str">
        <f t="shared" si="2"/>
        <v>2</v>
      </c>
      <c r="J13" s="187" t="str">
        <f t="shared" si="3"/>
        <v>2</v>
      </c>
      <c r="L13" s="303"/>
      <c r="M13" s="303"/>
      <c r="N13" s="303"/>
      <c r="O13" s="303"/>
      <c r="P13" s="303"/>
      <c r="Q13" s="303"/>
      <c r="R13" s="303"/>
      <c r="S13" s="303"/>
      <c r="T13" s="303"/>
      <c r="U13" s="205"/>
      <c r="V13" s="205"/>
      <c r="W13" s="204"/>
    </row>
    <row r="14" spans="2:23" ht="12.75" customHeight="1" x14ac:dyDescent="0.2">
      <c r="B14" s="117">
        <v>5.0999999999999996</v>
      </c>
      <c r="C14" s="117" t="s">
        <v>314</v>
      </c>
      <c r="D14" s="117" t="str">
        <f t="shared" si="0"/>
        <v>5</v>
      </c>
      <c r="E14" s="186" t="str">
        <f t="shared" si="1"/>
        <v>5</v>
      </c>
      <c r="G14" s="117">
        <v>3.5</v>
      </c>
      <c r="H14" s="117" t="s">
        <v>314</v>
      </c>
      <c r="I14" s="117" t="str">
        <f t="shared" si="2"/>
        <v>5</v>
      </c>
      <c r="J14" s="186" t="str">
        <f t="shared" si="3"/>
        <v>5</v>
      </c>
      <c r="L14" s="303"/>
      <c r="M14" s="303"/>
      <c r="N14" s="303"/>
      <c r="O14" s="303"/>
      <c r="P14" s="303"/>
      <c r="Q14" s="303"/>
      <c r="R14" s="303"/>
      <c r="S14" s="303"/>
      <c r="T14" s="303"/>
      <c r="U14" s="205"/>
      <c r="V14" s="205"/>
      <c r="W14" s="204"/>
    </row>
    <row r="15" spans="2:23" ht="12.75" customHeight="1" x14ac:dyDescent="0.2">
      <c r="B15" s="116">
        <v>6.2</v>
      </c>
      <c r="C15" s="116" t="s">
        <v>328</v>
      </c>
      <c r="D15" s="116" t="str">
        <f t="shared" si="0"/>
        <v>2</v>
      </c>
      <c r="E15" s="187" t="str">
        <f t="shared" si="1"/>
        <v>2</v>
      </c>
      <c r="G15" s="116">
        <v>3.6</v>
      </c>
      <c r="H15" s="116" t="s">
        <v>328</v>
      </c>
      <c r="I15" s="116" t="str">
        <f t="shared" si="2"/>
        <v>2</v>
      </c>
      <c r="J15" s="187" t="str">
        <f t="shared" si="3"/>
        <v>2</v>
      </c>
      <c r="L15" s="205"/>
      <c r="M15" s="205"/>
      <c r="N15" s="205"/>
      <c r="O15" s="205"/>
      <c r="P15" s="205"/>
      <c r="Q15" s="205"/>
      <c r="R15" s="205"/>
      <c r="S15" s="205"/>
      <c r="T15" s="205"/>
      <c r="U15" s="205"/>
      <c r="V15" s="205"/>
      <c r="W15" s="204"/>
    </row>
    <row r="16" spans="2:23" ht="12.75" customHeight="1" x14ac:dyDescent="0.2">
      <c r="B16" s="117">
        <v>7.1</v>
      </c>
      <c r="C16" s="117"/>
      <c r="D16" s="117" t="str">
        <f t="shared" si="0"/>
        <v/>
      </c>
      <c r="E16" s="186" t="str">
        <f t="shared" si="1"/>
        <v/>
      </c>
      <c r="G16" s="117">
        <v>4.0999999999999996</v>
      </c>
      <c r="H16" s="117"/>
      <c r="I16" s="117" t="str">
        <f t="shared" si="2"/>
        <v/>
      </c>
      <c r="J16" s="186" t="str">
        <f t="shared" si="3"/>
        <v/>
      </c>
      <c r="L16" s="205"/>
      <c r="M16" s="205"/>
      <c r="N16" s="205"/>
      <c r="O16" s="205"/>
      <c r="P16" s="205"/>
      <c r="Q16" s="205"/>
      <c r="R16" s="205"/>
      <c r="S16" s="205"/>
      <c r="T16" s="205"/>
      <c r="U16" s="205"/>
      <c r="V16" s="205"/>
      <c r="W16" s="204"/>
    </row>
    <row r="17" spans="2:23" ht="12.75" customHeight="1" x14ac:dyDescent="0.2">
      <c r="B17" s="116">
        <v>7.7</v>
      </c>
      <c r="C17" s="116" t="s">
        <v>332</v>
      </c>
      <c r="D17" s="116" t="str">
        <f t="shared" si="0"/>
        <v>N</v>
      </c>
      <c r="E17" s="187" t="str">
        <f t="shared" si="1"/>
        <v>N</v>
      </c>
      <c r="G17" s="116">
        <v>4.2</v>
      </c>
      <c r="H17" s="116" t="s">
        <v>332</v>
      </c>
      <c r="I17" s="116" t="str">
        <f t="shared" si="2"/>
        <v>N</v>
      </c>
      <c r="J17" s="187" t="str">
        <f t="shared" si="3"/>
        <v>N</v>
      </c>
      <c r="L17" s="205"/>
      <c r="M17" s="205"/>
      <c r="N17" s="205"/>
      <c r="O17" s="205"/>
      <c r="P17" s="205"/>
      <c r="Q17" s="205"/>
      <c r="R17" s="205"/>
      <c r="S17" s="205"/>
      <c r="T17" s="205"/>
      <c r="U17" s="205"/>
      <c r="V17" s="205"/>
      <c r="W17" s="204"/>
    </row>
    <row r="18" spans="2:23" ht="12.75" customHeight="1" x14ac:dyDescent="0.2">
      <c r="B18" s="117">
        <v>8.1999999999999993</v>
      </c>
      <c r="C18" s="117"/>
      <c r="D18" s="117" t="str">
        <f t="shared" si="0"/>
        <v/>
      </c>
      <c r="E18" s="186" t="str">
        <f t="shared" si="1"/>
        <v/>
      </c>
      <c r="G18" s="117">
        <v>4.3</v>
      </c>
      <c r="H18" s="117"/>
      <c r="I18" s="117" t="str">
        <f t="shared" si="2"/>
        <v/>
      </c>
      <c r="J18" s="186" t="str">
        <f t="shared" si="3"/>
        <v/>
      </c>
      <c r="L18" s="205"/>
      <c r="M18" s="205"/>
      <c r="N18" s="205"/>
      <c r="O18" s="205"/>
      <c r="P18" s="205"/>
      <c r="Q18" s="205"/>
      <c r="R18" s="205"/>
      <c r="S18" s="205"/>
      <c r="T18" s="205"/>
      <c r="U18" s="205"/>
      <c r="V18" s="205"/>
      <c r="W18" s="204"/>
    </row>
    <row r="19" spans="2:23" ht="12.75" customHeight="1" x14ac:dyDescent="0.2">
      <c r="B19" s="116">
        <v>8.4</v>
      </c>
      <c r="C19" s="116" t="s">
        <v>336</v>
      </c>
      <c r="D19" s="116" t="str">
        <f t="shared" si="0"/>
        <v>N</v>
      </c>
      <c r="E19" s="187" t="str">
        <f t="shared" si="1"/>
        <v>N</v>
      </c>
      <c r="G19" s="116">
        <v>4.4000000000000004</v>
      </c>
      <c r="H19" s="116" t="s">
        <v>336</v>
      </c>
      <c r="I19" s="116" t="str">
        <f t="shared" si="2"/>
        <v>N</v>
      </c>
      <c r="J19" s="187" t="str">
        <f t="shared" si="3"/>
        <v>N</v>
      </c>
      <c r="L19" s="205"/>
      <c r="M19" s="205"/>
      <c r="N19" s="205"/>
      <c r="O19" s="205"/>
      <c r="P19" s="205"/>
      <c r="Q19" s="205"/>
      <c r="R19" s="205"/>
      <c r="S19" s="205"/>
      <c r="T19" s="205"/>
      <c r="U19" s="205"/>
      <c r="V19" s="205"/>
      <c r="W19" s="204"/>
    </row>
    <row r="20" spans="2:23" ht="12.75" customHeight="1" x14ac:dyDescent="0.2">
      <c r="B20" s="117">
        <v>8.5</v>
      </c>
      <c r="C20" s="117"/>
      <c r="D20" s="117" t="str">
        <f t="shared" si="0"/>
        <v/>
      </c>
      <c r="E20" s="186" t="str">
        <f t="shared" si="1"/>
        <v/>
      </c>
      <c r="G20" s="117">
        <v>4.5</v>
      </c>
      <c r="H20" s="117"/>
      <c r="I20" s="117" t="str">
        <f t="shared" si="2"/>
        <v/>
      </c>
      <c r="J20" s="186" t="str">
        <f t="shared" si="3"/>
        <v/>
      </c>
      <c r="L20" s="205"/>
      <c r="M20" s="205"/>
      <c r="N20" s="205"/>
      <c r="O20" s="205"/>
      <c r="P20" s="205"/>
      <c r="Q20" s="205"/>
      <c r="R20" s="205"/>
      <c r="S20" s="205"/>
      <c r="T20" s="205"/>
      <c r="U20" s="205"/>
      <c r="V20" s="205"/>
      <c r="W20" s="204"/>
    </row>
    <row r="21" spans="2:23" ht="12.75" customHeight="1" x14ac:dyDescent="0.2">
      <c r="B21" s="116">
        <v>9.4</v>
      </c>
      <c r="C21" s="116"/>
      <c r="D21" s="116" t="str">
        <f t="shared" si="0"/>
        <v/>
      </c>
      <c r="E21" s="187" t="str">
        <f t="shared" si="1"/>
        <v/>
      </c>
      <c r="G21" s="116">
        <v>4.5999999999999996</v>
      </c>
      <c r="H21" s="116"/>
      <c r="I21" s="116" t="str">
        <f t="shared" si="2"/>
        <v/>
      </c>
      <c r="J21" s="187" t="str">
        <f t="shared" si="3"/>
        <v/>
      </c>
      <c r="L21" s="205"/>
      <c r="M21" s="205"/>
      <c r="N21" s="205"/>
      <c r="O21" s="205"/>
      <c r="P21" s="205"/>
      <c r="Q21" s="205"/>
      <c r="R21" s="205"/>
      <c r="S21" s="205"/>
      <c r="T21" s="205"/>
      <c r="U21" s="205"/>
      <c r="V21" s="205"/>
      <c r="W21" s="204"/>
    </row>
    <row r="22" spans="2:23" ht="12.75" customHeight="1" x14ac:dyDescent="0.2">
      <c r="B22" s="117">
        <v>10.1</v>
      </c>
      <c r="C22" s="117"/>
      <c r="D22" s="117" t="str">
        <f t="shared" si="0"/>
        <v/>
      </c>
      <c r="E22" s="186" t="str">
        <f t="shared" si="1"/>
        <v/>
      </c>
      <c r="G22" s="117">
        <v>4.7</v>
      </c>
      <c r="H22" s="117"/>
      <c r="I22" s="117" t="str">
        <f t="shared" si="2"/>
        <v/>
      </c>
      <c r="J22" s="186" t="str">
        <f t="shared" si="3"/>
        <v/>
      </c>
      <c r="L22" s="204"/>
      <c r="M22" s="204"/>
      <c r="N22" s="204"/>
      <c r="O22" s="204"/>
      <c r="P22" s="204"/>
      <c r="Q22" s="204"/>
      <c r="R22" s="204"/>
      <c r="S22" s="204"/>
      <c r="T22" s="204"/>
      <c r="U22" s="204"/>
      <c r="V22" s="204"/>
      <c r="W22" s="204"/>
    </row>
    <row r="23" spans="2:23" ht="12.75" customHeight="1" x14ac:dyDescent="0.2">
      <c r="B23" s="116">
        <v>10.199999999999999</v>
      </c>
      <c r="C23" s="116"/>
      <c r="D23" s="116" t="str">
        <f t="shared" si="0"/>
        <v/>
      </c>
      <c r="E23" s="187" t="str">
        <f t="shared" si="1"/>
        <v/>
      </c>
      <c r="G23" s="116">
        <v>5.0999999999999996</v>
      </c>
      <c r="H23" s="116"/>
      <c r="I23" s="116" t="str">
        <f t="shared" si="2"/>
        <v/>
      </c>
      <c r="J23" s="187" t="str">
        <f t="shared" si="3"/>
        <v/>
      </c>
      <c r="L23" s="204"/>
      <c r="M23" s="204"/>
      <c r="N23" s="204"/>
      <c r="O23" s="204"/>
      <c r="P23" s="204"/>
      <c r="Q23" s="204"/>
      <c r="R23" s="204"/>
      <c r="S23" s="204"/>
      <c r="T23" s="204"/>
      <c r="U23" s="204"/>
      <c r="V23" s="204"/>
      <c r="W23" s="204"/>
    </row>
    <row r="24" spans="2:23" ht="12.75" customHeight="1" x14ac:dyDescent="0.2">
      <c r="B24" s="117">
        <v>10.4</v>
      </c>
      <c r="C24" s="117"/>
      <c r="D24" s="117" t="str">
        <f t="shared" si="0"/>
        <v/>
      </c>
      <c r="E24" s="186" t="str">
        <f t="shared" si="1"/>
        <v/>
      </c>
      <c r="G24" s="117">
        <v>5.2</v>
      </c>
      <c r="H24" s="117"/>
      <c r="I24" s="117" t="str">
        <f t="shared" si="2"/>
        <v/>
      </c>
      <c r="J24" s="186" t="str">
        <f t="shared" si="3"/>
        <v/>
      </c>
      <c r="L24" s="204"/>
      <c r="M24" s="204"/>
      <c r="N24" s="204"/>
      <c r="O24" s="204"/>
      <c r="P24" s="204"/>
      <c r="Q24" s="204"/>
      <c r="R24" s="204"/>
      <c r="S24" s="204"/>
      <c r="T24" s="204"/>
      <c r="U24" s="204"/>
      <c r="V24" s="204"/>
      <c r="W24" s="204"/>
    </row>
    <row r="25" spans="2:23" ht="12.75" customHeight="1" x14ac:dyDescent="0.2">
      <c r="B25" s="116">
        <v>10.5</v>
      </c>
      <c r="C25" s="116"/>
      <c r="D25" s="116" t="str">
        <f t="shared" si="0"/>
        <v/>
      </c>
      <c r="E25" s="187" t="str">
        <f t="shared" si="1"/>
        <v/>
      </c>
      <c r="G25" s="116">
        <v>5.3</v>
      </c>
      <c r="H25" s="116"/>
      <c r="I25" s="116" t="str">
        <f t="shared" si="2"/>
        <v/>
      </c>
      <c r="J25" s="187" t="str">
        <f t="shared" si="3"/>
        <v/>
      </c>
      <c r="L25" s="204"/>
      <c r="M25" s="204"/>
      <c r="N25" s="204"/>
      <c r="O25" s="204"/>
      <c r="P25" s="204"/>
      <c r="Q25" s="204"/>
      <c r="R25" s="204"/>
      <c r="S25" s="204"/>
      <c r="T25" s="204"/>
      <c r="U25" s="204"/>
      <c r="V25" s="204"/>
      <c r="W25" s="204"/>
    </row>
    <row r="26" spans="2:23" ht="12.75" customHeight="1" x14ac:dyDescent="0.2">
      <c r="B26" s="117">
        <v>11.4</v>
      </c>
      <c r="C26" s="117"/>
      <c r="D26" s="117" t="str">
        <f t="shared" si="0"/>
        <v/>
      </c>
      <c r="E26" s="186" t="str">
        <f t="shared" si="1"/>
        <v/>
      </c>
      <c r="G26" s="117">
        <v>5.4</v>
      </c>
      <c r="H26" s="117"/>
      <c r="I26" s="117" t="str">
        <f t="shared" si="2"/>
        <v/>
      </c>
      <c r="J26" s="186" t="str">
        <f t="shared" si="3"/>
        <v/>
      </c>
      <c r="L26" s="204"/>
      <c r="M26" s="204"/>
      <c r="N26" s="204"/>
      <c r="O26" s="204"/>
      <c r="P26" s="204"/>
      <c r="Q26" s="204"/>
      <c r="R26" s="204"/>
      <c r="S26" s="204"/>
      <c r="T26" s="204"/>
      <c r="U26" s="204"/>
      <c r="V26" s="204"/>
      <c r="W26" s="204"/>
    </row>
    <row r="27" spans="2:23" x14ac:dyDescent="0.2">
      <c r="B27" s="116">
        <v>12.1</v>
      </c>
      <c r="C27" s="116"/>
      <c r="D27" s="116" t="str">
        <f t="shared" si="0"/>
        <v/>
      </c>
      <c r="E27" s="187" t="str">
        <f t="shared" si="1"/>
        <v/>
      </c>
      <c r="G27" s="116">
        <v>6.1</v>
      </c>
      <c r="H27" s="116"/>
      <c r="I27" s="116" t="str">
        <f t="shared" si="2"/>
        <v/>
      </c>
      <c r="J27" s="187" t="str">
        <f t="shared" si="3"/>
        <v/>
      </c>
      <c r="L27" s="188"/>
      <c r="M27" s="188"/>
      <c r="N27" s="188"/>
      <c r="O27" s="188"/>
      <c r="P27" s="188"/>
    </row>
    <row r="28" spans="2:23" x14ac:dyDescent="0.2">
      <c r="B28" s="117">
        <v>12.4</v>
      </c>
      <c r="C28" s="117"/>
      <c r="D28" s="117" t="str">
        <f t="shared" si="0"/>
        <v/>
      </c>
      <c r="E28" s="186" t="str">
        <f t="shared" si="1"/>
        <v/>
      </c>
      <c r="G28" s="117">
        <v>6.2</v>
      </c>
      <c r="H28" s="117"/>
      <c r="I28" s="117" t="str">
        <f t="shared" si="2"/>
        <v/>
      </c>
      <c r="J28" s="186" t="str">
        <f t="shared" si="3"/>
        <v/>
      </c>
      <c r="L28" s="188"/>
      <c r="M28" s="188"/>
      <c r="N28" s="188"/>
      <c r="O28" s="188"/>
      <c r="P28" s="188"/>
    </row>
    <row r="29" spans="2:23" x14ac:dyDescent="0.2">
      <c r="B29" s="116">
        <v>13.1</v>
      </c>
      <c r="C29" s="116"/>
      <c r="D29" s="116" t="str">
        <f t="shared" si="0"/>
        <v/>
      </c>
      <c r="E29" s="187" t="str">
        <f t="shared" si="1"/>
        <v/>
      </c>
      <c r="G29" s="116">
        <v>6.3</v>
      </c>
      <c r="H29" s="116"/>
      <c r="I29" s="116" t="str">
        <f t="shared" si="2"/>
        <v/>
      </c>
      <c r="J29" s="187" t="str">
        <f t="shared" si="3"/>
        <v/>
      </c>
      <c r="L29" s="188"/>
      <c r="M29" s="188"/>
      <c r="N29" s="188"/>
      <c r="O29" s="188"/>
      <c r="P29" s="188"/>
    </row>
    <row r="30" spans="2:23" x14ac:dyDescent="0.2">
      <c r="B30" s="117">
        <v>13.2</v>
      </c>
      <c r="C30" s="117"/>
      <c r="D30" s="117" t="str">
        <f t="shared" si="0"/>
        <v/>
      </c>
      <c r="E30" s="186" t="str">
        <f t="shared" si="1"/>
        <v/>
      </c>
      <c r="G30" s="117">
        <v>6.4</v>
      </c>
      <c r="H30" s="117"/>
      <c r="I30" s="117" t="str">
        <f t="shared" si="2"/>
        <v/>
      </c>
      <c r="J30" s="186" t="str">
        <f t="shared" si="3"/>
        <v/>
      </c>
      <c r="L30" s="188"/>
      <c r="M30" s="188"/>
      <c r="N30" s="188"/>
      <c r="O30" s="188"/>
      <c r="P30" s="188"/>
    </row>
    <row r="31" spans="2:23" x14ac:dyDescent="0.2">
      <c r="B31" s="116">
        <v>13.6</v>
      </c>
      <c r="C31" s="116"/>
      <c r="D31" s="116" t="str">
        <f t="shared" si="0"/>
        <v/>
      </c>
      <c r="E31" s="187" t="str">
        <f t="shared" si="1"/>
        <v/>
      </c>
      <c r="G31" s="116">
        <v>6.5</v>
      </c>
      <c r="H31" s="116"/>
      <c r="I31" s="116" t="str">
        <f t="shared" si="2"/>
        <v/>
      </c>
      <c r="J31" s="187" t="str">
        <f t="shared" si="3"/>
        <v/>
      </c>
      <c r="L31" s="188"/>
      <c r="M31" s="188"/>
      <c r="N31" s="188"/>
      <c r="O31" s="188"/>
      <c r="P31" s="188"/>
    </row>
    <row r="32" spans="2:23" x14ac:dyDescent="0.2">
      <c r="B32" s="117">
        <v>14.6</v>
      </c>
      <c r="C32" s="117"/>
      <c r="D32" s="117" t="str">
        <f t="shared" si="0"/>
        <v/>
      </c>
      <c r="E32" s="186" t="str">
        <f t="shared" si="1"/>
        <v/>
      </c>
      <c r="G32" s="117">
        <v>7.1</v>
      </c>
      <c r="H32" s="117"/>
      <c r="I32" s="117" t="str">
        <f t="shared" si="2"/>
        <v/>
      </c>
      <c r="J32" s="186" t="str">
        <f t="shared" si="3"/>
        <v/>
      </c>
      <c r="L32" s="188"/>
      <c r="M32" s="188"/>
      <c r="N32" s="188"/>
      <c r="O32" s="188"/>
      <c r="P32" s="188"/>
    </row>
    <row r="33" spans="2:16" x14ac:dyDescent="0.2">
      <c r="B33" s="116">
        <v>15.7</v>
      </c>
      <c r="C33" s="116"/>
      <c r="D33" s="116" t="str">
        <f t="shared" si="0"/>
        <v/>
      </c>
      <c r="E33" s="187" t="str">
        <f t="shared" si="1"/>
        <v/>
      </c>
      <c r="G33" s="116">
        <v>7.2</v>
      </c>
      <c r="H33" s="116"/>
      <c r="I33" s="116" t="str">
        <f t="shared" si="2"/>
        <v/>
      </c>
      <c r="J33" s="187" t="str">
        <f t="shared" si="3"/>
        <v/>
      </c>
      <c r="L33" s="188"/>
      <c r="M33" s="188"/>
      <c r="N33" s="188"/>
      <c r="O33" s="188"/>
      <c r="P33" s="188"/>
    </row>
    <row r="34" spans="2:16" x14ac:dyDescent="0.2">
      <c r="B34" s="189">
        <v>15.1</v>
      </c>
      <c r="C34" s="117"/>
      <c r="D34" s="117" t="str">
        <f t="shared" si="0"/>
        <v/>
      </c>
      <c r="E34" s="186" t="str">
        <f t="shared" si="1"/>
        <v/>
      </c>
      <c r="G34" s="117">
        <v>7.3</v>
      </c>
      <c r="H34" s="117"/>
      <c r="I34" s="117" t="str">
        <f t="shared" si="2"/>
        <v/>
      </c>
      <c r="J34" s="186" t="str">
        <f t="shared" si="3"/>
        <v/>
      </c>
      <c r="L34" s="188"/>
      <c r="M34" s="188"/>
      <c r="N34" s="188"/>
      <c r="O34" s="188"/>
      <c r="P34" s="188"/>
    </row>
    <row r="35" spans="2:16" x14ac:dyDescent="0.2">
      <c r="B35" s="116">
        <v>16.8</v>
      </c>
      <c r="C35" s="116"/>
      <c r="D35" s="116" t="str">
        <f t="shared" si="0"/>
        <v/>
      </c>
      <c r="E35" s="187" t="str">
        <f t="shared" si="1"/>
        <v/>
      </c>
      <c r="G35" s="116">
        <v>7.4</v>
      </c>
      <c r="H35" s="116"/>
      <c r="I35" s="116" t="str">
        <f t="shared" si="2"/>
        <v/>
      </c>
      <c r="J35" s="187" t="str">
        <f t="shared" si="3"/>
        <v/>
      </c>
      <c r="L35" s="188"/>
      <c r="M35" s="188"/>
      <c r="N35" s="188"/>
      <c r="O35" s="188"/>
      <c r="P35" s="188"/>
    </row>
    <row r="36" spans="2:16" x14ac:dyDescent="0.2">
      <c r="B36" s="117">
        <v>16.899999999999999</v>
      </c>
      <c r="C36" s="117"/>
      <c r="D36" s="117" t="str">
        <f t="shared" si="0"/>
        <v/>
      </c>
      <c r="E36" s="186" t="str">
        <f t="shared" si="1"/>
        <v/>
      </c>
      <c r="G36" s="117">
        <v>8.1</v>
      </c>
      <c r="H36" s="117"/>
      <c r="I36" s="117" t="str">
        <f t="shared" si="2"/>
        <v/>
      </c>
      <c r="J36" s="186" t="str">
        <f t="shared" si="3"/>
        <v/>
      </c>
      <c r="L36" s="188"/>
      <c r="M36" s="188"/>
      <c r="N36" s="188"/>
      <c r="O36" s="188"/>
      <c r="P36" s="188"/>
    </row>
    <row r="37" spans="2:16" x14ac:dyDescent="0.2">
      <c r="B37" s="116">
        <v>16.11</v>
      </c>
      <c r="C37" s="116"/>
      <c r="D37" s="116" t="str">
        <f t="shared" si="0"/>
        <v/>
      </c>
      <c r="E37" s="187" t="str">
        <f t="shared" si="1"/>
        <v/>
      </c>
      <c r="G37" s="116">
        <v>8.1999999999999993</v>
      </c>
      <c r="H37" s="116"/>
      <c r="I37" s="116" t="str">
        <f t="shared" si="2"/>
        <v/>
      </c>
      <c r="J37" s="187" t="str">
        <f t="shared" si="3"/>
        <v/>
      </c>
      <c r="L37" s="188"/>
      <c r="M37" s="188"/>
      <c r="N37" s="188"/>
      <c r="O37" s="188"/>
      <c r="P37" s="188"/>
    </row>
    <row r="38" spans="2:16" x14ac:dyDescent="0.2">
      <c r="B38" s="117">
        <v>17.3</v>
      </c>
      <c r="C38" s="117"/>
      <c r="D38" s="117" t="str">
        <f t="shared" si="0"/>
        <v/>
      </c>
      <c r="E38" s="186" t="str">
        <f t="shared" si="1"/>
        <v/>
      </c>
      <c r="G38" s="117">
        <v>8.3000000000000007</v>
      </c>
      <c r="H38" s="117"/>
      <c r="I38" s="117" t="str">
        <f t="shared" si="2"/>
        <v/>
      </c>
      <c r="J38" s="186" t="str">
        <f t="shared" si="3"/>
        <v/>
      </c>
      <c r="L38" s="188"/>
      <c r="M38" s="188"/>
      <c r="N38" s="188"/>
      <c r="O38" s="188"/>
      <c r="P38" s="188"/>
    </row>
    <row r="39" spans="2:16" x14ac:dyDescent="0.2">
      <c r="B39" s="116">
        <v>17.5</v>
      </c>
      <c r="C39" s="116" t="s">
        <v>314</v>
      </c>
      <c r="D39" s="116" t="str">
        <f t="shared" si="0"/>
        <v>5</v>
      </c>
      <c r="E39" s="187" t="str">
        <f t="shared" si="1"/>
        <v>5</v>
      </c>
      <c r="G39" s="116">
        <v>9.1</v>
      </c>
      <c r="H39" s="116" t="s">
        <v>314</v>
      </c>
      <c r="I39" s="116" t="str">
        <f t="shared" si="2"/>
        <v>5</v>
      </c>
      <c r="J39" s="187" t="str">
        <f t="shared" si="3"/>
        <v>5</v>
      </c>
      <c r="L39" s="188"/>
      <c r="M39" s="188"/>
      <c r="N39" s="188"/>
      <c r="O39" s="188"/>
      <c r="P39" s="188"/>
    </row>
    <row r="40" spans="2:16" x14ac:dyDescent="0.2">
      <c r="B40" s="117">
        <v>17.600000000000001</v>
      </c>
      <c r="C40" s="117"/>
      <c r="D40" s="117" t="str">
        <f t="shared" si="0"/>
        <v/>
      </c>
      <c r="E40" s="186" t="str">
        <f t="shared" si="1"/>
        <v/>
      </c>
      <c r="G40" s="117">
        <v>9.1999999999999993</v>
      </c>
      <c r="H40" s="117"/>
      <c r="I40" s="117" t="str">
        <f t="shared" si="2"/>
        <v/>
      </c>
      <c r="J40" s="186" t="str">
        <f t="shared" si="3"/>
        <v/>
      </c>
      <c r="L40" s="188"/>
      <c r="M40" s="188"/>
      <c r="N40" s="188"/>
      <c r="O40" s="188"/>
      <c r="P40" s="188"/>
    </row>
    <row r="41" spans="2:16" x14ac:dyDescent="0.2">
      <c r="B41" s="116">
        <v>17.7</v>
      </c>
      <c r="C41" s="116"/>
      <c r="D41" s="116" t="str">
        <f t="shared" si="0"/>
        <v/>
      </c>
      <c r="E41" s="187" t="str">
        <f t="shared" si="1"/>
        <v/>
      </c>
      <c r="G41" s="116">
        <v>10.1</v>
      </c>
      <c r="H41" s="116"/>
      <c r="I41" s="116" t="str">
        <f t="shared" si="2"/>
        <v/>
      </c>
      <c r="J41" s="187" t="str">
        <f t="shared" si="3"/>
        <v/>
      </c>
      <c r="L41" s="188"/>
      <c r="M41" s="188"/>
      <c r="N41" s="188"/>
      <c r="O41" s="188"/>
      <c r="P41" s="188"/>
    </row>
    <row r="42" spans="2:16" x14ac:dyDescent="0.2">
      <c r="B42" s="117">
        <v>17.8</v>
      </c>
      <c r="C42" s="117"/>
      <c r="D42" s="117" t="str">
        <f t="shared" si="0"/>
        <v/>
      </c>
      <c r="E42" s="186" t="str">
        <f t="shared" si="1"/>
        <v/>
      </c>
      <c r="G42" s="117">
        <v>10.199999999999999</v>
      </c>
      <c r="H42" s="117"/>
      <c r="I42" s="117" t="str">
        <f t="shared" si="2"/>
        <v/>
      </c>
      <c r="J42" s="186" t="str">
        <f t="shared" si="3"/>
        <v/>
      </c>
      <c r="L42" s="188"/>
      <c r="M42" s="188"/>
      <c r="N42" s="188"/>
      <c r="O42" s="188"/>
      <c r="P42" s="188"/>
    </row>
    <row r="43" spans="2:16" x14ac:dyDescent="0.2">
      <c r="B43" s="116">
        <v>17.899999999999999</v>
      </c>
      <c r="C43" s="116"/>
      <c r="D43" s="116" t="str">
        <f t="shared" si="0"/>
        <v/>
      </c>
      <c r="E43" s="187" t="str">
        <f t="shared" si="1"/>
        <v/>
      </c>
      <c r="G43" s="116">
        <v>10.3</v>
      </c>
      <c r="H43" s="116"/>
      <c r="I43" s="116" t="str">
        <f t="shared" si="2"/>
        <v/>
      </c>
      <c r="J43" s="187" t="str">
        <f t="shared" si="3"/>
        <v/>
      </c>
      <c r="L43" s="188"/>
      <c r="M43" s="188"/>
      <c r="N43" s="188"/>
      <c r="O43" s="188"/>
      <c r="P43" s="188"/>
    </row>
    <row r="44" spans="2:16" x14ac:dyDescent="0.2">
      <c r="B44" s="117">
        <v>19.100000000000001</v>
      </c>
      <c r="C44" s="117" t="s">
        <v>314</v>
      </c>
      <c r="D44" s="117" t="str">
        <f t="shared" si="0"/>
        <v>5</v>
      </c>
      <c r="E44" s="186" t="str">
        <f t="shared" si="1"/>
        <v>5</v>
      </c>
      <c r="G44" s="117">
        <v>11.1</v>
      </c>
      <c r="H44" s="117" t="s">
        <v>314</v>
      </c>
      <c r="I44" s="117" t="str">
        <f t="shared" si="2"/>
        <v>5</v>
      </c>
      <c r="J44" s="186" t="str">
        <f t="shared" si="3"/>
        <v>5</v>
      </c>
      <c r="L44" s="188"/>
      <c r="M44" s="188"/>
      <c r="N44" s="188"/>
      <c r="O44" s="188"/>
      <c r="P44" s="188"/>
    </row>
    <row r="45" spans="2:16" x14ac:dyDescent="0.2">
      <c r="B45" s="116">
        <v>19.3</v>
      </c>
      <c r="C45" s="116"/>
      <c r="D45" s="116" t="str">
        <f t="shared" si="0"/>
        <v/>
      </c>
      <c r="E45" s="187" t="str">
        <f t="shared" si="1"/>
        <v/>
      </c>
      <c r="G45" s="116">
        <v>11.2</v>
      </c>
      <c r="H45" s="116"/>
      <c r="I45" s="116" t="str">
        <f t="shared" si="2"/>
        <v/>
      </c>
      <c r="J45" s="187" t="str">
        <f t="shared" si="3"/>
        <v/>
      </c>
      <c r="L45" s="188"/>
      <c r="M45" s="188"/>
      <c r="N45" s="188"/>
      <c r="O45" s="188"/>
      <c r="P45" s="188"/>
    </row>
    <row r="46" spans="2:16" x14ac:dyDescent="0.2">
      <c r="B46" s="117">
        <v>19.5</v>
      </c>
      <c r="C46" s="117" t="s">
        <v>319</v>
      </c>
      <c r="D46" s="117" t="str">
        <f t="shared" si="0"/>
        <v>3</v>
      </c>
      <c r="E46" s="186" t="str">
        <f t="shared" si="1"/>
        <v>3</v>
      </c>
      <c r="G46" s="117">
        <v>11.3</v>
      </c>
      <c r="H46" s="117" t="s">
        <v>319</v>
      </c>
      <c r="I46" s="117" t="str">
        <f t="shared" si="2"/>
        <v>3</v>
      </c>
      <c r="J46" s="186" t="str">
        <f t="shared" si="3"/>
        <v>3</v>
      </c>
      <c r="L46" s="188"/>
      <c r="M46" s="188"/>
      <c r="N46" s="188"/>
      <c r="O46" s="188"/>
      <c r="P46" s="188"/>
    </row>
    <row r="47" spans="2:16" ht="13.5" thickBot="1" x14ac:dyDescent="0.25">
      <c r="B47" s="118">
        <v>19.600000000000001</v>
      </c>
      <c r="C47" s="118"/>
      <c r="D47" s="118" t="str">
        <f t="shared" si="0"/>
        <v/>
      </c>
      <c r="E47" s="190" t="str">
        <f t="shared" si="1"/>
        <v/>
      </c>
      <c r="G47" s="116">
        <v>11.4</v>
      </c>
      <c r="H47" s="117" t="s">
        <v>319</v>
      </c>
      <c r="I47" s="116" t="str">
        <f t="shared" si="2"/>
        <v>3</v>
      </c>
      <c r="J47" s="187" t="str">
        <f t="shared" si="3"/>
        <v>3</v>
      </c>
      <c r="L47" s="188"/>
      <c r="M47" s="188"/>
      <c r="N47" s="188"/>
      <c r="O47" s="188"/>
      <c r="P47" s="188"/>
    </row>
    <row r="48" spans="2:16" x14ac:dyDescent="0.2">
      <c r="G48" s="117">
        <v>12.1</v>
      </c>
      <c r="H48" s="116" t="s">
        <v>328</v>
      </c>
      <c r="I48" s="117" t="str">
        <f t="shared" si="2"/>
        <v>2</v>
      </c>
      <c r="J48" s="186" t="str">
        <f t="shared" si="3"/>
        <v>2</v>
      </c>
      <c r="L48" s="188"/>
      <c r="M48" s="188"/>
      <c r="N48" s="188"/>
      <c r="O48" s="188"/>
      <c r="P48" s="188"/>
    </row>
    <row r="49" spans="7:16" x14ac:dyDescent="0.2">
      <c r="G49" s="116">
        <v>14.1</v>
      </c>
      <c r="H49" s="117" t="s">
        <v>324</v>
      </c>
      <c r="I49" s="116" t="str">
        <f t="shared" si="2"/>
        <v>4</v>
      </c>
      <c r="J49" s="187" t="str">
        <f t="shared" si="3"/>
        <v>4</v>
      </c>
      <c r="L49" s="188"/>
      <c r="M49" s="188"/>
      <c r="N49" s="188"/>
      <c r="O49" s="188"/>
      <c r="P49" s="188"/>
    </row>
    <row r="50" spans="7:16" x14ac:dyDescent="0.2">
      <c r="G50" s="117">
        <v>14.2</v>
      </c>
      <c r="H50" s="116" t="s">
        <v>324</v>
      </c>
      <c r="I50" s="117" t="str">
        <f t="shared" si="2"/>
        <v>4</v>
      </c>
      <c r="J50" s="186" t="str">
        <f t="shared" si="3"/>
        <v>4</v>
      </c>
      <c r="L50" s="188"/>
      <c r="M50" s="188"/>
      <c r="N50" s="188"/>
      <c r="O50" s="188"/>
      <c r="P50" s="188"/>
    </row>
    <row r="51" spans="7:16" x14ac:dyDescent="0.2">
      <c r="G51" s="116">
        <v>14.3</v>
      </c>
      <c r="H51" s="117" t="s">
        <v>328</v>
      </c>
      <c r="I51" s="116" t="str">
        <f t="shared" si="2"/>
        <v>2</v>
      </c>
      <c r="J51" s="187" t="str">
        <f t="shared" si="3"/>
        <v>2</v>
      </c>
      <c r="L51" s="188"/>
      <c r="M51" s="188"/>
      <c r="N51" s="188"/>
      <c r="O51" s="188"/>
      <c r="P51" s="188"/>
    </row>
    <row r="52" spans="7:16" x14ac:dyDescent="0.2">
      <c r="G52" s="117">
        <v>14.4</v>
      </c>
      <c r="H52" s="116" t="s">
        <v>328</v>
      </c>
      <c r="I52" s="117" t="str">
        <f t="shared" si="2"/>
        <v>2</v>
      </c>
      <c r="J52" s="186" t="str">
        <f t="shared" si="3"/>
        <v>2</v>
      </c>
    </row>
    <row r="53" spans="7:16" x14ac:dyDescent="0.2">
      <c r="G53" s="116">
        <v>14.5</v>
      </c>
      <c r="H53" s="117" t="s">
        <v>314</v>
      </c>
      <c r="I53" s="116" t="str">
        <f t="shared" si="2"/>
        <v>5</v>
      </c>
      <c r="J53" s="187" t="str">
        <f t="shared" si="3"/>
        <v>5</v>
      </c>
    </row>
    <row r="54" spans="7:16" x14ac:dyDescent="0.2">
      <c r="G54" s="117">
        <v>14.6</v>
      </c>
      <c r="H54" s="116" t="s">
        <v>324</v>
      </c>
      <c r="I54" s="117" t="str">
        <f t="shared" si="2"/>
        <v>4</v>
      </c>
      <c r="J54" s="186" t="str">
        <f t="shared" ref="J54:J57" si="4">I54</f>
        <v>4</v>
      </c>
    </row>
    <row r="55" spans="7:16" x14ac:dyDescent="0.2">
      <c r="G55" s="116">
        <v>14.7</v>
      </c>
      <c r="H55" s="117" t="s">
        <v>328</v>
      </c>
      <c r="I55" s="116" t="str">
        <f t="shared" si="2"/>
        <v>2</v>
      </c>
      <c r="J55" s="187" t="str">
        <f t="shared" si="4"/>
        <v>2</v>
      </c>
    </row>
    <row r="56" spans="7:16" x14ac:dyDescent="0.2">
      <c r="G56" s="117">
        <v>14.8</v>
      </c>
      <c r="H56" s="116" t="s">
        <v>328</v>
      </c>
      <c r="I56" s="117" t="str">
        <f t="shared" si="2"/>
        <v>2</v>
      </c>
      <c r="J56" s="186" t="str">
        <f t="shared" si="4"/>
        <v>2</v>
      </c>
    </row>
    <row r="57" spans="7:16" x14ac:dyDescent="0.2">
      <c r="G57" s="116">
        <v>15.1</v>
      </c>
      <c r="H57" s="117" t="s">
        <v>314</v>
      </c>
      <c r="I57" s="116" t="str">
        <f t="shared" si="2"/>
        <v>5</v>
      </c>
      <c r="J57" s="187" t="str">
        <f t="shared" si="4"/>
        <v>5</v>
      </c>
    </row>
    <row r="58" spans="7:16" x14ac:dyDescent="0.2">
      <c r="G58" s="117">
        <v>17.100000000000001</v>
      </c>
      <c r="H58" s="117"/>
      <c r="I58" s="117" t="str">
        <f t="shared" si="2"/>
        <v/>
      </c>
      <c r="J58" s="186" t="str">
        <f t="shared" si="3"/>
        <v/>
      </c>
    </row>
    <row r="59" spans="7:16" x14ac:dyDescent="0.2">
      <c r="G59" s="116">
        <v>17.2</v>
      </c>
      <c r="H59" s="116"/>
      <c r="I59" s="116" t="str">
        <f t="shared" si="2"/>
        <v/>
      </c>
      <c r="J59" s="187" t="str">
        <f t="shared" si="3"/>
        <v/>
      </c>
    </row>
    <row r="60" spans="7:16" ht="13.5" thickBot="1" x14ac:dyDescent="0.25">
      <c r="G60" s="120">
        <v>17.3</v>
      </c>
      <c r="H60" s="120"/>
      <c r="I60" s="120" t="str">
        <f t="shared" si="2"/>
        <v/>
      </c>
      <c r="J60" s="191" t="str">
        <f t="shared" si="3"/>
        <v/>
      </c>
    </row>
  </sheetData>
  <sheetProtection sheet="1" objects="1" scenarios="1"/>
  <mergeCells count="4">
    <mergeCell ref="G3:J3"/>
    <mergeCell ref="B3:E3"/>
    <mergeCell ref="B1:J1"/>
    <mergeCell ref="L4:T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2799-EC7E-416B-9FDA-448DADB2F2DE}">
  <sheetPr codeName="Sheet11">
    <tabColor rgb="FFFF0000"/>
  </sheetPr>
  <dimension ref="B1:X69"/>
  <sheetViews>
    <sheetView showGridLines="0" workbookViewId="0">
      <selection activeCell="B1" sqref="B1:W1"/>
    </sheetView>
  </sheetViews>
  <sheetFormatPr defaultColWidth="9.140625" defaultRowHeight="12.75" x14ac:dyDescent="0.2"/>
  <cols>
    <col min="1" max="1" width="9.140625" style="2"/>
    <col min="2" max="2" width="19" style="20" customWidth="1"/>
    <col min="3" max="3" width="23.140625" style="2" bestFit="1" customWidth="1"/>
    <col min="4" max="4" width="29.7109375" style="2" bestFit="1" customWidth="1"/>
    <col min="5" max="5" width="27.42578125" style="2" bestFit="1" customWidth="1"/>
    <col min="6" max="6" width="25.7109375" style="2" bestFit="1" customWidth="1"/>
    <col min="7" max="7" width="18.140625" style="2" customWidth="1"/>
    <col min="8" max="8" width="20.42578125" style="2" bestFit="1" customWidth="1"/>
    <col min="9" max="9" width="18.28515625" style="2" bestFit="1" customWidth="1"/>
    <col min="10" max="10" width="16.42578125" style="2" bestFit="1" customWidth="1"/>
    <col min="11" max="11" width="22" style="2" bestFit="1" customWidth="1"/>
    <col min="12" max="12" width="22" style="2" customWidth="1"/>
    <col min="13" max="13" width="9.140625" style="2"/>
    <col min="14" max="14" width="25" style="85" customWidth="1"/>
    <col min="15" max="15" width="23.140625" style="2" bestFit="1" customWidth="1"/>
    <col min="16" max="16" width="29.7109375" style="2" bestFit="1" customWidth="1"/>
    <col min="17" max="17" width="27.42578125" style="2" bestFit="1" customWidth="1"/>
    <col min="18" max="18" width="25.7109375" style="2" bestFit="1" customWidth="1"/>
    <col min="19" max="19" width="14" style="2" bestFit="1" customWidth="1"/>
    <col min="20" max="20" width="20.42578125" style="2" bestFit="1" customWidth="1"/>
    <col min="21" max="21" width="18.28515625" style="2" bestFit="1" customWidth="1"/>
    <col min="22" max="22" width="16.42578125" style="2" bestFit="1" customWidth="1"/>
    <col min="23" max="23" width="22" style="2" bestFit="1" customWidth="1"/>
    <col min="24" max="24" width="22" style="2" customWidth="1"/>
    <col min="25" max="16384" width="9.140625" style="2"/>
  </cols>
  <sheetData>
    <row r="1" spans="2:24" ht="67.5" customHeight="1" thickBot="1" x14ac:dyDescent="0.25">
      <c r="B1" s="324" t="s">
        <v>302</v>
      </c>
      <c r="C1" s="325"/>
      <c r="D1" s="325"/>
      <c r="E1" s="325"/>
      <c r="F1" s="325"/>
      <c r="G1" s="325"/>
      <c r="H1" s="325"/>
      <c r="I1" s="325"/>
      <c r="J1" s="325"/>
      <c r="K1" s="325"/>
      <c r="L1" s="325"/>
      <c r="M1" s="325"/>
      <c r="N1" s="325"/>
      <c r="O1" s="325"/>
      <c r="P1" s="325"/>
      <c r="Q1" s="325"/>
      <c r="R1" s="325"/>
      <c r="S1" s="325"/>
      <c r="T1" s="325"/>
      <c r="U1" s="325"/>
      <c r="V1" s="325"/>
      <c r="W1" s="325"/>
      <c r="X1" s="81"/>
    </row>
    <row r="2" spans="2:24" ht="13.5" thickBot="1" x14ac:dyDescent="0.25"/>
    <row r="3" spans="2:24" ht="26.25" customHeight="1" thickTop="1" x14ac:dyDescent="0.2">
      <c r="B3" s="69" t="s">
        <v>340</v>
      </c>
      <c r="C3" s="70" t="s">
        <v>310</v>
      </c>
      <c r="D3" s="70" t="s">
        <v>311</v>
      </c>
      <c r="E3" s="70" t="s">
        <v>312</v>
      </c>
      <c r="F3" s="71" t="s">
        <v>313</v>
      </c>
      <c r="G3" s="72" t="s">
        <v>340</v>
      </c>
      <c r="I3" s="303" t="s">
        <v>365</v>
      </c>
      <c r="J3" s="303"/>
      <c r="K3" s="303"/>
      <c r="L3" s="303"/>
      <c r="M3" s="303"/>
      <c r="N3" s="303"/>
      <c r="O3" s="303"/>
    </row>
    <row r="4" spans="2:24" ht="12.75" customHeight="1" x14ac:dyDescent="0.2">
      <c r="B4" s="73">
        <v>1</v>
      </c>
      <c r="C4" s="77" t="s">
        <v>333</v>
      </c>
      <c r="D4" s="77" t="s">
        <v>334</v>
      </c>
      <c r="E4" s="77" t="s">
        <v>337</v>
      </c>
      <c r="F4" s="78" t="s">
        <v>335</v>
      </c>
      <c r="G4" s="74">
        <v>1</v>
      </c>
      <c r="I4" s="303"/>
      <c r="J4" s="303"/>
      <c r="K4" s="303"/>
      <c r="L4" s="303"/>
      <c r="M4" s="303"/>
      <c r="N4" s="303"/>
      <c r="O4" s="303"/>
    </row>
    <row r="5" spans="2:24" ht="12.75" customHeight="1" x14ac:dyDescent="0.2">
      <c r="B5" s="73">
        <v>2</v>
      </c>
      <c r="C5" s="77" t="s">
        <v>329</v>
      </c>
      <c r="D5" s="77" t="s">
        <v>330</v>
      </c>
      <c r="E5" s="77" t="s">
        <v>331</v>
      </c>
      <c r="F5" s="78" t="s">
        <v>341</v>
      </c>
      <c r="G5" s="74">
        <v>2</v>
      </c>
      <c r="I5" s="303"/>
      <c r="J5" s="303"/>
      <c r="K5" s="303"/>
      <c r="L5" s="303"/>
      <c r="M5" s="303"/>
      <c r="N5" s="303"/>
      <c r="O5" s="303"/>
    </row>
    <row r="6" spans="2:24" ht="12.75" customHeight="1" x14ac:dyDescent="0.2">
      <c r="B6" s="73">
        <v>3</v>
      </c>
      <c r="C6" s="77" t="s">
        <v>320</v>
      </c>
      <c r="D6" s="77" t="s">
        <v>321</v>
      </c>
      <c r="E6" s="77" t="s">
        <v>322</v>
      </c>
      <c r="F6" s="78" t="s">
        <v>318</v>
      </c>
      <c r="G6" s="74">
        <v>3</v>
      </c>
      <c r="I6" s="303"/>
      <c r="J6" s="303"/>
      <c r="K6" s="303"/>
      <c r="L6" s="303"/>
      <c r="M6" s="303"/>
      <c r="N6" s="303"/>
      <c r="O6" s="303"/>
    </row>
    <row r="7" spans="2:24" ht="12.75" customHeight="1" x14ac:dyDescent="0.2">
      <c r="B7" s="73">
        <v>4</v>
      </c>
      <c r="C7" s="77" t="s">
        <v>338</v>
      </c>
      <c r="D7" s="77" t="s">
        <v>316</v>
      </c>
      <c r="E7" s="77" t="s">
        <v>327</v>
      </c>
      <c r="F7" s="78" t="s">
        <v>323</v>
      </c>
      <c r="G7" s="74">
        <v>4</v>
      </c>
      <c r="I7" s="303"/>
      <c r="J7" s="303"/>
      <c r="K7" s="303"/>
      <c r="L7" s="303"/>
      <c r="M7" s="303"/>
      <c r="N7" s="303"/>
      <c r="O7" s="303"/>
    </row>
    <row r="8" spans="2:24" ht="12.75" customHeight="1" x14ac:dyDescent="0.2">
      <c r="B8" s="73">
        <v>5</v>
      </c>
      <c r="C8" s="77" t="s">
        <v>315</v>
      </c>
      <c r="D8" s="77" t="s">
        <v>325</v>
      </c>
      <c r="E8" s="77" t="s">
        <v>317</v>
      </c>
      <c r="F8" s="78" t="s">
        <v>326</v>
      </c>
      <c r="G8" s="74">
        <v>5</v>
      </c>
      <c r="I8" s="303"/>
      <c r="J8" s="303"/>
      <c r="K8" s="303"/>
      <c r="L8" s="303"/>
      <c r="M8" s="303"/>
      <c r="N8" s="303"/>
      <c r="O8" s="303"/>
    </row>
    <row r="9" spans="2:24" ht="25.5" customHeight="1" x14ac:dyDescent="0.2">
      <c r="B9" s="73" t="s">
        <v>342</v>
      </c>
      <c r="C9" s="77" t="s">
        <v>339</v>
      </c>
      <c r="D9" s="77" t="s">
        <v>339</v>
      </c>
      <c r="E9" s="77" t="s">
        <v>339</v>
      </c>
      <c r="F9" s="78" t="s">
        <v>339</v>
      </c>
      <c r="G9" s="74" t="s">
        <v>342</v>
      </c>
      <c r="I9" s="303"/>
      <c r="J9" s="303"/>
      <c r="K9" s="303"/>
      <c r="L9" s="303"/>
      <c r="M9" s="303"/>
      <c r="N9" s="303"/>
      <c r="O9" s="303"/>
    </row>
    <row r="10" spans="2:24" ht="13.5" thickBot="1" x14ac:dyDescent="0.25">
      <c r="B10" s="75" t="s">
        <v>343</v>
      </c>
      <c r="C10" s="79" t="s">
        <v>332</v>
      </c>
      <c r="D10" s="79" t="s">
        <v>332</v>
      </c>
      <c r="E10" s="79" t="s">
        <v>332</v>
      </c>
      <c r="F10" s="80" t="s">
        <v>332</v>
      </c>
      <c r="G10" s="76" t="s">
        <v>343</v>
      </c>
      <c r="N10" s="193"/>
    </row>
    <row r="11" spans="2:24" ht="13.5" thickTop="1" x14ac:dyDescent="0.2">
      <c r="N11" s="193"/>
    </row>
    <row r="12" spans="2:24" s="54" customFormat="1" ht="39" customHeight="1" thickBot="1" x14ac:dyDescent="0.3">
      <c r="B12" s="195" t="s">
        <v>303</v>
      </c>
      <c r="C12" s="323" t="s">
        <v>344</v>
      </c>
      <c r="D12" s="326"/>
      <c r="E12" s="326"/>
      <c r="F12" s="327"/>
      <c r="G12" s="328" t="s">
        <v>304</v>
      </c>
      <c r="H12" s="326"/>
      <c r="I12" s="326"/>
      <c r="J12" s="326"/>
      <c r="K12" s="329" t="s">
        <v>350</v>
      </c>
      <c r="L12" s="329" t="s">
        <v>351</v>
      </c>
      <c r="N12" s="195" t="s">
        <v>305</v>
      </c>
      <c r="O12" s="323" t="s">
        <v>344</v>
      </c>
      <c r="P12" s="326"/>
      <c r="Q12" s="326"/>
      <c r="R12" s="327"/>
      <c r="S12" s="328" t="s">
        <v>304</v>
      </c>
      <c r="T12" s="326"/>
      <c r="U12" s="326"/>
      <c r="V12" s="331"/>
      <c r="W12" s="322" t="s">
        <v>350</v>
      </c>
      <c r="X12" s="322" t="s">
        <v>351</v>
      </c>
    </row>
    <row r="13" spans="2:24" s="65" customFormat="1" ht="27" thickTop="1" thickBot="1" x14ac:dyDescent="0.3">
      <c r="B13" s="195" t="s">
        <v>306</v>
      </c>
      <c r="C13" s="66" t="s">
        <v>310</v>
      </c>
      <c r="D13" s="59" t="s">
        <v>311</v>
      </c>
      <c r="E13" s="59" t="s">
        <v>312</v>
      </c>
      <c r="F13" s="59" t="s">
        <v>313</v>
      </c>
      <c r="G13" s="59" t="s">
        <v>310</v>
      </c>
      <c r="H13" s="59" t="s">
        <v>311</v>
      </c>
      <c r="I13" s="59" t="s">
        <v>312</v>
      </c>
      <c r="J13" s="195" t="s">
        <v>313</v>
      </c>
      <c r="K13" s="330"/>
      <c r="L13" s="330"/>
      <c r="N13" s="195" t="s">
        <v>309</v>
      </c>
      <c r="O13" s="66" t="s">
        <v>310</v>
      </c>
      <c r="P13" s="59" t="s">
        <v>311</v>
      </c>
      <c r="Q13" s="59" t="s">
        <v>312</v>
      </c>
      <c r="R13" s="59" t="s">
        <v>313</v>
      </c>
      <c r="S13" s="59" t="s">
        <v>310</v>
      </c>
      <c r="T13" s="59" t="s">
        <v>311</v>
      </c>
      <c r="U13" s="59" t="s">
        <v>312</v>
      </c>
      <c r="V13" s="67" t="s">
        <v>313</v>
      </c>
      <c r="W13" s="323"/>
      <c r="X13" s="323"/>
    </row>
    <row r="14" spans="2:24" ht="13.5" thickTop="1" x14ac:dyDescent="0.2">
      <c r="B14" s="55">
        <v>1.4</v>
      </c>
      <c r="C14" s="55" t="s">
        <v>315</v>
      </c>
      <c r="D14" s="55" t="s">
        <v>316</v>
      </c>
      <c r="E14" s="55" t="s">
        <v>317</v>
      </c>
      <c r="F14" s="55" t="s">
        <v>318</v>
      </c>
      <c r="G14" s="55">
        <f>VLOOKUP(C14,$C$4:$G$10,5,FALSE)</f>
        <v>5</v>
      </c>
      <c r="H14" s="55">
        <f>VLOOKUP(D14,$D$4:$G$10,4,FALSE)</f>
        <v>4</v>
      </c>
      <c r="I14" s="55">
        <f>VLOOKUP(E14,$E$4:$G$10,3,FALSE)</f>
        <v>5</v>
      </c>
      <c r="J14" s="55">
        <f>VLOOKUP(F14,$F$4:$G$10,2,FALSE)</f>
        <v>3</v>
      </c>
      <c r="K14" s="60">
        <f>ROUND(AVERAGE(G14:J14),0)</f>
        <v>4</v>
      </c>
      <c r="L14" s="60">
        <f>K14</f>
        <v>4</v>
      </c>
      <c r="N14" s="68">
        <v>1.1000000000000001</v>
      </c>
      <c r="O14" s="55" t="s">
        <v>315</v>
      </c>
      <c r="P14" s="55" t="s">
        <v>316</v>
      </c>
      <c r="Q14" s="55" t="s">
        <v>317</v>
      </c>
      <c r="R14" s="55" t="s">
        <v>318</v>
      </c>
      <c r="S14" s="68">
        <f>VLOOKUP(O14,$C$4:$G$10,5,FALSE)</f>
        <v>5</v>
      </c>
      <c r="T14" s="68">
        <f>VLOOKUP(P14,$D$4:$G$10,4,FALSE)</f>
        <v>4</v>
      </c>
      <c r="U14" s="68">
        <f>VLOOKUP(Q14,$E$4:$G$10,3,FALSE)</f>
        <v>5</v>
      </c>
      <c r="V14" s="68">
        <f>VLOOKUP(R14,$F$4:$G$10,2,FALSE)</f>
        <v>3</v>
      </c>
      <c r="W14" s="68">
        <f>ROUND(AVERAGE(S14:V14),0)</f>
        <v>4</v>
      </c>
      <c r="X14" s="64">
        <f>W14</f>
        <v>4</v>
      </c>
    </row>
    <row r="15" spans="2:24" x14ac:dyDescent="0.2">
      <c r="B15" s="56">
        <v>1.6</v>
      </c>
      <c r="C15" s="56" t="s">
        <v>320</v>
      </c>
      <c r="D15" s="56" t="s">
        <v>321</v>
      </c>
      <c r="E15" s="56" t="s">
        <v>322</v>
      </c>
      <c r="F15" s="56" t="s">
        <v>323</v>
      </c>
      <c r="G15" s="56">
        <f t="shared" ref="G15:G56" si="0">VLOOKUP(C15,$C$4:$G$10,5,FALSE)</f>
        <v>3</v>
      </c>
      <c r="H15" s="56">
        <f t="shared" ref="H15:H56" si="1">VLOOKUP(D15,$D$4:$G$10,4,FALSE)</f>
        <v>3</v>
      </c>
      <c r="I15" s="56">
        <f t="shared" ref="I15:I56" si="2">VLOOKUP(E15,$E$4:$G$10,3,FALSE)</f>
        <v>3</v>
      </c>
      <c r="J15" s="56">
        <f t="shared" ref="J15:J56" si="3">VLOOKUP(F15,$F$4:$G$10,2,FALSE)</f>
        <v>4</v>
      </c>
      <c r="K15" s="61">
        <f t="shared" ref="K15:K56" si="4">ROUND(AVERAGE(G15:J15),0)</f>
        <v>3</v>
      </c>
      <c r="L15" s="61">
        <f t="shared" ref="L15:L56" si="5">K15</f>
        <v>3</v>
      </c>
      <c r="N15" s="56">
        <v>1.2</v>
      </c>
      <c r="O15" s="56" t="s">
        <v>320</v>
      </c>
      <c r="P15" s="56" t="s">
        <v>321</v>
      </c>
      <c r="Q15" s="56" t="s">
        <v>322</v>
      </c>
      <c r="R15" s="56" t="s">
        <v>323</v>
      </c>
      <c r="S15" s="56">
        <f t="shared" ref="S15:S69" si="6">VLOOKUP(O15,$C$4:$G$10,5,FALSE)</f>
        <v>3</v>
      </c>
      <c r="T15" s="56">
        <f t="shared" ref="T15:T69" si="7">VLOOKUP(P15,$D$4:$G$10,4,FALSE)</f>
        <v>3</v>
      </c>
      <c r="U15" s="56">
        <f t="shared" ref="U15:U69" si="8">VLOOKUP(Q15,$E$4:$G$10,3,FALSE)</f>
        <v>3</v>
      </c>
      <c r="V15" s="56">
        <f t="shared" ref="V15:V69" si="9">VLOOKUP(R15,$F$4:$G$10,2,FALSE)</f>
        <v>4</v>
      </c>
      <c r="W15" s="56">
        <f t="shared" ref="W15:W69" si="10">ROUND(AVERAGE(S15:V15),0)</f>
        <v>3</v>
      </c>
      <c r="X15" s="61">
        <f t="shared" ref="X15:X69" si="11">W15</f>
        <v>3</v>
      </c>
    </row>
    <row r="16" spans="2:24" x14ac:dyDescent="0.2">
      <c r="B16" s="55">
        <v>2.1</v>
      </c>
      <c r="C16" s="55" t="s">
        <v>315</v>
      </c>
      <c r="D16" s="55" t="s">
        <v>325</v>
      </c>
      <c r="E16" s="55" t="s">
        <v>317</v>
      </c>
      <c r="F16" s="55" t="s">
        <v>326</v>
      </c>
      <c r="G16" s="55">
        <f t="shared" si="0"/>
        <v>5</v>
      </c>
      <c r="H16" s="55">
        <f t="shared" si="1"/>
        <v>5</v>
      </c>
      <c r="I16" s="55">
        <f t="shared" si="2"/>
        <v>5</v>
      </c>
      <c r="J16" s="55">
        <f t="shared" si="3"/>
        <v>5</v>
      </c>
      <c r="K16" s="60">
        <f t="shared" si="4"/>
        <v>5</v>
      </c>
      <c r="L16" s="60">
        <f t="shared" si="5"/>
        <v>5</v>
      </c>
      <c r="N16" s="55">
        <v>2.1</v>
      </c>
      <c r="O16" s="55" t="s">
        <v>315</v>
      </c>
      <c r="P16" s="55" t="s">
        <v>325</v>
      </c>
      <c r="Q16" s="55" t="s">
        <v>317</v>
      </c>
      <c r="R16" s="55" t="s">
        <v>326</v>
      </c>
      <c r="S16" s="55">
        <f t="shared" si="6"/>
        <v>5</v>
      </c>
      <c r="T16" s="55">
        <f t="shared" si="7"/>
        <v>5</v>
      </c>
      <c r="U16" s="55">
        <f t="shared" si="8"/>
        <v>5</v>
      </c>
      <c r="V16" s="55">
        <f t="shared" si="9"/>
        <v>5</v>
      </c>
      <c r="W16" s="55">
        <f t="shared" si="10"/>
        <v>5</v>
      </c>
      <c r="X16" s="60">
        <f t="shared" si="11"/>
        <v>5</v>
      </c>
    </row>
    <row r="17" spans="2:24" x14ac:dyDescent="0.2">
      <c r="B17" s="56">
        <v>2.2000000000000002</v>
      </c>
      <c r="C17" s="56" t="s">
        <v>320</v>
      </c>
      <c r="D17" s="56" t="s">
        <v>321</v>
      </c>
      <c r="E17" s="56" t="s">
        <v>327</v>
      </c>
      <c r="F17" s="56" t="s">
        <v>326</v>
      </c>
      <c r="G17" s="56">
        <f t="shared" si="0"/>
        <v>3</v>
      </c>
      <c r="H17" s="56">
        <f t="shared" si="1"/>
        <v>3</v>
      </c>
      <c r="I17" s="56">
        <f t="shared" si="2"/>
        <v>4</v>
      </c>
      <c r="J17" s="56">
        <f t="shared" si="3"/>
        <v>5</v>
      </c>
      <c r="K17" s="61">
        <f t="shared" si="4"/>
        <v>4</v>
      </c>
      <c r="L17" s="61">
        <f t="shared" si="5"/>
        <v>4</v>
      </c>
      <c r="N17" s="56">
        <v>2.2000000000000002</v>
      </c>
      <c r="O17" s="56" t="s">
        <v>320</v>
      </c>
      <c r="P17" s="56" t="s">
        <v>321</v>
      </c>
      <c r="Q17" s="56" t="s">
        <v>327</v>
      </c>
      <c r="R17" s="56" t="s">
        <v>326</v>
      </c>
      <c r="S17" s="56">
        <f t="shared" si="6"/>
        <v>3</v>
      </c>
      <c r="T17" s="56">
        <f t="shared" si="7"/>
        <v>3</v>
      </c>
      <c r="U17" s="56">
        <f t="shared" si="8"/>
        <v>4</v>
      </c>
      <c r="V17" s="56">
        <f t="shared" si="9"/>
        <v>5</v>
      </c>
      <c r="W17" s="56">
        <f t="shared" si="10"/>
        <v>4</v>
      </c>
      <c r="X17" s="61">
        <f t="shared" si="11"/>
        <v>4</v>
      </c>
    </row>
    <row r="18" spans="2:24" x14ac:dyDescent="0.2">
      <c r="B18" s="55">
        <v>2.6</v>
      </c>
      <c r="C18" s="55" t="s">
        <v>329</v>
      </c>
      <c r="D18" s="55" t="s">
        <v>330</v>
      </c>
      <c r="E18" s="55" t="s">
        <v>331</v>
      </c>
      <c r="F18" s="55" t="s">
        <v>318</v>
      </c>
      <c r="G18" s="55">
        <f t="shared" si="0"/>
        <v>2</v>
      </c>
      <c r="H18" s="55">
        <f t="shared" si="1"/>
        <v>2</v>
      </c>
      <c r="I18" s="55">
        <f t="shared" si="2"/>
        <v>2</v>
      </c>
      <c r="J18" s="55">
        <f t="shared" si="3"/>
        <v>3</v>
      </c>
      <c r="K18" s="60">
        <f t="shared" si="4"/>
        <v>2</v>
      </c>
      <c r="L18" s="60">
        <f t="shared" si="5"/>
        <v>2</v>
      </c>
      <c r="N18" s="55">
        <v>2.2999999999999998</v>
      </c>
      <c r="O18" s="55" t="s">
        <v>329</v>
      </c>
      <c r="P18" s="55" t="s">
        <v>330</v>
      </c>
      <c r="Q18" s="55" t="s">
        <v>331</v>
      </c>
      <c r="R18" s="55" t="s">
        <v>318</v>
      </c>
      <c r="S18" s="55">
        <f t="shared" si="6"/>
        <v>2</v>
      </c>
      <c r="T18" s="55">
        <f t="shared" si="7"/>
        <v>2</v>
      </c>
      <c r="U18" s="55">
        <f t="shared" si="8"/>
        <v>2</v>
      </c>
      <c r="V18" s="55">
        <f t="shared" si="9"/>
        <v>3</v>
      </c>
      <c r="W18" s="55">
        <f t="shared" si="10"/>
        <v>2</v>
      </c>
      <c r="X18" s="60">
        <f t="shared" si="11"/>
        <v>2</v>
      </c>
    </row>
    <row r="19" spans="2:24" x14ac:dyDescent="0.2">
      <c r="B19" s="56">
        <v>3.4</v>
      </c>
      <c r="C19" s="56" t="s">
        <v>320</v>
      </c>
      <c r="D19" s="56" t="s">
        <v>321</v>
      </c>
      <c r="E19" s="56" t="s">
        <v>322</v>
      </c>
      <c r="F19" s="56" t="s">
        <v>323</v>
      </c>
      <c r="G19" s="56">
        <f t="shared" si="0"/>
        <v>3</v>
      </c>
      <c r="H19" s="56">
        <f t="shared" si="1"/>
        <v>3</v>
      </c>
      <c r="I19" s="56">
        <f t="shared" si="2"/>
        <v>3</v>
      </c>
      <c r="J19" s="56">
        <f t="shared" si="3"/>
        <v>4</v>
      </c>
      <c r="K19" s="61">
        <f t="shared" si="4"/>
        <v>3</v>
      </c>
      <c r="L19" s="61">
        <f t="shared" si="5"/>
        <v>3</v>
      </c>
      <c r="N19" s="56">
        <v>3.1</v>
      </c>
      <c r="O19" s="56" t="s">
        <v>320</v>
      </c>
      <c r="P19" s="56" t="s">
        <v>321</v>
      </c>
      <c r="Q19" s="56" t="s">
        <v>322</v>
      </c>
      <c r="R19" s="56" t="s">
        <v>323</v>
      </c>
      <c r="S19" s="56">
        <f t="shared" si="6"/>
        <v>3</v>
      </c>
      <c r="T19" s="56">
        <f t="shared" si="7"/>
        <v>3</v>
      </c>
      <c r="U19" s="56">
        <f t="shared" si="8"/>
        <v>3</v>
      </c>
      <c r="V19" s="56">
        <f t="shared" si="9"/>
        <v>4</v>
      </c>
      <c r="W19" s="56">
        <f t="shared" si="10"/>
        <v>3</v>
      </c>
      <c r="X19" s="61">
        <f t="shared" si="11"/>
        <v>3</v>
      </c>
    </row>
    <row r="20" spans="2:24" x14ac:dyDescent="0.2">
      <c r="B20" s="55">
        <v>3.5</v>
      </c>
      <c r="C20" s="55" t="s">
        <v>320</v>
      </c>
      <c r="D20" s="55" t="s">
        <v>321</v>
      </c>
      <c r="E20" s="55" t="s">
        <v>322</v>
      </c>
      <c r="F20" s="55" t="s">
        <v>318</v>
      </c>
      <c r="G20" s="55">
        <f t="shared" si="0"/>
        <v>3</v>
      </c>
      <c r="H20" s="55">
        <f t="shared" si="1"/>
        <v>3</v>
      </c>
      <c r="I20" s="55">
        <f t="shared" si="2"/>
        <v>3</v>
      </c>
      <c r="J20" s="55">
        <f t="shared" si="3"/>
        <v>3</v>
      </c>
      <c r="K20" s="60">
        <f t="shared" si="4"/>
        <v>3</v>
      </c>
      <c r="L20" s="60">
        <f t="shared" si="5"/>
        <v>3</v>
      </c>
      <c r="N20" s="55">
        <v>3.2</v>
      </c>
      <c r="O20" s="55" t="s">
        <v>320</v>
      </c>
      <c r="P20" s="55" t="s">
        <v>321</v>
      </c>
      <c r="Q20" s="55" t="s">
        <v>322</v>
      </c>
      <c r="R20" s="55" t="s">
        <v>318</v>
      </c>
      <c r="S20" s="55">
        <f t="shared" si="6"/>
        <v>3</v>
      </c>
      <c r="T20" s="55">
        <f t="shared" si="7"/>
        <v>3</v>
      </c>
      <c r="U20" s="55">
        <f t="shared" si="8"/>
        <v>3</v>
      </c>
      <c r="V20" s="55">
        <f t="shared" si="9"/>
        <v>3</v>
      </c>
      <c r="W20" s="55">
        <f t="shared" si="10"/>
        <v>3</v>
      </c>
      <c r="X20" s="60">
        <f t="shared" si="11"/>
        <v>3</v>
      </c>
    </row>
    <row r="21" spans="2:24" x14ac:dyDescent="0.2">
      <c r="B21" s="56">
        <v>4.2</v>
      </c>
      <c r="C21" s="56" t="s">
        <v>320</v>
      </c>
      <c r="D21" s="56" t="s">
        <v>325</v>
      </c>
      <c r="E21" s="56" t="s">
        <v>322</v>
      </c>
      <c r="F21" s="56" t="s">
        <v>323</v>
      </c>
      <c r="G21" s="56">
        <f t="shared" si="0"/>
        <v>3</v>
      </c>
      <c r="H21" s="56">
        <f t="shared" si="1"/>
        <v>5</v>
      </c>
      <c r="I21" s="56">
        <f t="shared" si="2"/>
        <v>3</v>
      </c>
      <c r="J21" s="56">
        <f t="shared" si="3"/>
        <v>4</v>
      </c>
      <c r="K21" s="61">
        <f t="shared" si="4"/>
        <v>4</v>
      </c>
      <c r="L21" s="61">
        <f t="shared" si="5"/>
        <v>4</v>
      </c>
      <c r="N21" s="56">
        <v>3.3</v>
      </c>
      <c r="O21" s="56" t="s">
        <v>320</v>
      </c>
      <c r="P21" s="56" t="s">
        <v>325</v>
      </c>
      <c r="Q21" s="56" t="s">
        <v>322</v>
      </c>
      <c r="R21" s="56" t="s">
        <v>323</v>
      </c>
      <c r="S21" s="56">
        <f t="shared" si="6"/>
        <v>3</v>
      </c>
      <c r="T21" s="56">
        <f t="shared" si="7"/>
        <v>5</v>
      </c>
      <c r="U21" s="56">
        <f t="shared" si="8"/>
        <v>3</v>
      </c>
      <c r="V21" s="56">
        <f t="shared" si="9"/>
        <v>4</v>
      </c>
      <c r="W21" s="56">
        <f t="shared" si="10"/>
        <v>4</v>
      </c>
      <c r="X21" s="61">
        <f t="shared" si="11"/>
        <v>4</v>
      </c>
    </row>
    <row r="22" spans="2:24" x14ac:dyDescent="0.2">
      <c r="B22" s="55">
        <v>4.3</v>
      </c>
      <c r="C22" s="55" t="s">
        <v>315</v>
      </c>
      <c r="D22" s="55" t="s">
        <v>325</v>
      </c>
      <c r="E22" s="55" t="s">
        <v>317</v>
      </c>
      <c r="F22" s="55" t="s">
        <v>326</v>
      </c>
      <c r="G22" s="55">
        <f t="shared" si="0"/>
        <v>5</v>
      </c>
      <c r="H22" s="55">
        <f t="shared" si="1"/>
        <v>5</v>
      </c>
      <c r="I22" s="55">
        <f t="shared" si="2"/>
        <v>5</v>
      </c>
      <c r="J22" s="55">
        <f t="shared" si="3"/>
        <v>5</v>
      </c>
      <c r="K22" s="60">
        <f t="shared" si="4"/>
        <v>5</v>
      </c>
      <c r="L22" s="60">
        <f t="shared" si="5"/>
        <v>5</v>
      </c>
      <c r="N22" s="55">
        <v>3.4</v>
      </c>
      <c r="O22" s="55" t="s">
        <v>315</v>
      </c>
      <c r="P22" s="55" t="s">
        <v>325</v>
      </c>
      <c r="Q22" s="55" t="s">
        <v>317</v>
      </c>
      <c r="R22" s="55" t="s">
        <v>326</v>
      </c>
      <c r="S22" s="55">
        <f t="shared" si="6"/>
        <v>5</v>
      </c>
      <c r="T22" s="55">
        <f t="shared" si="7"/>
        <v>5</v>
      </c>
      <c r="U22" s="55">
        <f t="shared" si="8"/>
        <v>5</v>
      </c>
      <c r="V22" s="55">
        <f t="shared" si="9"/>
        <v>5</v>
      </c>
      <c r="W22" s="55">
        <f t="shared" si="10"/>
        <v>5</v>
      </c>
      <c r="X22" s="60">
        <f t="shared" si="11"/>
        <v>5</v>
      </c>
    </row>
    <row r="23" spans="2:24" x14ac:dyDescent="0.2">
      <c r="B23" s="56">
        <v>5.0999999999999996</v>
      </c>
      <c r="C23" s="56" t="s">
        <v>315</v>
      </c>
      <c r="D23" s="56" t="s">
        <v>321</v>
      </c>
      <c r="E23" s="56" t="s">
        <v>327</v>
      </c>
      <c r="F23" s="56" t="s">
        <v>326</v>
      </c>
      <c r="G23" s="56">
        <f t="shared" si="0"/>
        <v>5</v>
      </c>
      <c r="H23" s="56">
        <f t="shared" si="1"/>
        <v>3</v>
      </c>
      <c r="I23" s="56">
        <f t="shared" si="2"/>
        <v>4</v>
      </c>
      <c r="J23" s="56">
        <f t="shared" si="3"/>
        <v>5</v>
      </c>
      <c r="K23" s="61">
        <f t="shared" si="4"/>
        <v>4</v>
      </c>
      <c r="L23" s="61">
        <f t="shared" si="5"/>
        <v>4</v>
      </c>
      <c r="N23" s="56">
        <v>3.5</v>
      </c>
      <c r="O23" s="56" t="s">
        <v>315</v>
      </c>
      <c r="P23" s="56" t="s">
        <v>321</v>
      </c>
      <c r="Q23" s="56" t="s">
        <v>327</v>
      </c>
      <c r="R23" s="56" t="s">
        <v>326</v>
      </c>
      <c r="S23" s="56">
        <f t="shared" si="6"/>
        <v>5</v>
      </c>
      <c r="T23" s="56">
        <f t="shared" si="7"/>
        <v>3</v>
      </c>
      <c r="U23" s="56">
        <f t="shared" si="8"/>
        <v>4</v>
      </c>
      <c r="V23" s="56">
        <f t="shared" si="9"/>
        <v>5</v>
      </c>
      <c r="W23" s="56">
        <f t="shared" si="10"/>
        <v>4</v>
      </c>
      <c r="X23" s="61">
        <f t="shared" si="11"/>
        <v>4</v>
      </c>
    </row>
    <row r="24" spans="2:24" x14ac:dyDescent="0.2">
      <c r="B24" s="55">
        <v>6.2</v>
      </c>
      <c r="C24" s="55" t="s">
        <v>315</v>
      </c>
      <c r="D24" s="55" t="s">
        <v>316</v>
      </c>
      <c r="E24" s="55" t="s">
        <v>327</v>
      </c>
      <c r="F24" s="55" t="s">
        <v>326</v>
      </c>
      <c r="G24" s="55">
        <f t="shared" si="0"/>
        <v>5</v>
      </c>
      <c r="H24" s="55">
        <f t="shared" si="1"/>
        <v>4</v>
      </c>
      <c r="I24" s="55">
        <f t="shared" si="2"/>
        <v>4</v>
      </c>
      <c r="J24" s="55">
        <f t="shared" si="3"/>
        <v>5</v>
      </c>
      <c r="K24" s="60">
        <f t="shared" si="4"/>
        <v>5</v>
      </c>
      <c r="L24" s="60">
        <f t="shared" si="5"/>
        <v>5</v>
      </c>
      <c r="N24" s="55">
        <v>3.6</v>
      </c>
      <c r="O24" s="55" t="s">
        <v>315</v>
      </c>
      <c r="P24" s="55" t="s">
        <v>316</v>
      </c>
      <c r="Q24" s="55" t="s">
        <v>327</v>
      </c>
      <c r="R24" s="55" t="s">
        <v>326</v>
      </c>
      <c r="S24" s="55">
        <f t="shared" si="6"/>
        <v>5</v>
      </c>
      <c r="T24" s="55">
        <f t="shared" si="7"/>
        <v>4</v>
      </c>
      <c r="U24" s="55">
        <f t="shared" si="8"/>
        <v>4</v>
      </c>
      <c r="V24" s="55">
        <f t="shared" si="9"/>
        <v>5</v>
      </c>
      <c r="W24" s="55">
        <f t="shared" si="10"/>
        <v>5</v>
      </c>
      <c r="X24" s="60">
        <f t="shared" si="11"/>
        <v>5</v>
      </c>
    </row>
    <row r="25" spans="2:24" x14ac:dyDescent="0.2">
      <c r="B25" s="56">
        <v>7.1</v>
      </c>
      <c r="C25" s="56" t="s">
        <v>320</v>
      </c>
      <c r="D25" s="56" t="s">
        <v>316</v>
      </c>
      <c r="E25" s="56" t="s">
        <v>317</v>
      </c>
      <c r="F25" s="56" t="s">
        <v>323</v>
      </c>
      <c r="G25" s="56">
        <f t="shared" si="0"/>
        <v>3</v>
      </c>
      <c r="H25" s="56">
        <f t="shared" si="1"/>
        <v>4</v>
      </c>
      <c r="I25" s="56">
        <f t="shared" si="2"/>
        <v>5</v>
      </c>
      <c r="J25" s="56">
        <f t="shared" si="3"/>
        <v>4</v>
      </c>
      <c r="K25" s="61">
        <f t="shared" si="4"/>
        <v>4</v>
      </c>
      <c r="L25" s="61">
        <f t="shared" si="5"/>
        <v>4</v>
      </c>
      <c r="N25" s="56">
        <v>4.0999999999999996</v>
      </c>
      <c r="O25" s="56" t="s">
        <v>320</v>
      </c>
      <c r="P25" s="56" t="s">
        <v>316</v>
      </c>
      <c r="Q25" s="56" t="s">
        <v>317</v>
      </c>
      <c r="R25" s="56" t="s">
        <v>323</v>
      </c>
      <c r="S25" s="56">
        <f t="shared" si="6"/>
        <v>3</v>
      </c>
      <c r="T25" s="56">
        <f t="shared" si="7"/>
        <v>4</v>
      </c>
      <c r="U25" s="56">
        <f t="shared" si="8"/>
        <v>5</v>
      </c>
      <c r="V25" s="56">
        <f t="shared" si="9"/>
        <v>4</v>
      </c>
      <c r="W25" s="56">
        <f t="shared" si="10"/>
        <v>4</v>
      </c>
      <c r="X25" s="61">
        <f t="shared" si="11"/>
        <v>4</v>
      </c>
    </row>
    <row r="26" spans="2:24" x14ac:dyDescent="0.2">
      <c r="B26" s="55">
        <v>7.7</v>
      </c>
      <c r="C26" s="55" t="s">
        <v>320</v>
      </c>
      <c r="D26" s="55" t="s">
        <v>316</v>
      </c>
      <c r="E26" s="55" t="s">
        <v>327</v>
      </c>
      <c r="F26" s="55" t="s">
        <v>323</v>
      </c>
      <c r="G26" s="55">
        <f t="shared" si="0"/>
        <v>3</v>
      </c>
      <c r="H26" s="55">
        <f t="shared" si="1"/>
        <v>4</v>
      </c>
      <c r="I26" s="55">
        <f t="shared" si="2"/>
        <v>4</v>
      </c>
      <c r="J26" s="55">
        <f t="shared" si="3"/>
        <v>4</v>
      </c>
      <c r="K26" s="60">
        <f t="shared" si="4"/>
        <v>4</v>
      </c>
      <c r="L26" s="60">
        <f t="shared" si="5"/>
        <v>4</v>
      </c>
      <c r="N26" s="55">
        <v>4.2</v>
      </c>
      <c r="O26" s="55" t="s">
        <v>320</v>
      </c>
      <c r="P26" s="55" t="s">
        <v>316</v>
      </c>
      <c r="Q26" s="55" t="s">
        <v>327</v>
      </c>
      <c r="R26" s="55" t="s">
        <v>323</v>
      </c>
      <c r="S26" s="55">
        <f t="shared" si="6"/>
        <v>3</v>
      </c>
      <c r="T26" s="55">
        <f t="shared" si="7"/>
        <v>4</v>
      </c>
      <c r="U26" s="55">
        <f t="shared" si="8"/>
        <v>4</v>
      </c>
      <c r="V26" s="55">
        <f t="shared" si="9"/>
        <v>4</v>
      </c>
      <c r="W26" s="55">
        <f t="shared" si="10"/>
        <v>4</v>
      </c>
      <c r="X26" s="60">
        <f t="shared" si="11"/>
        <v>4</v>
      </c>
    </row>
    <row r="27" spans="2:24" x14ac:dyDescent="0.2">
      <c r="B27" s="56">
        <v>8.1999999999999993</v>
      </c>
      <c r="C27" s="56" t="s">
        <v>333</v>
      </c>
      <c r="D27" s="56" t="s">
        <v>334</v>
      </c>
      <c r="E27" s="56" t="s">
        <v>331</v>
      </c>
      <c r="F27" s="56" t="s">
        <v>335</v>
      </c>
      <c r="G27" s="56">
        <f t="shared" si="0"/>
        <v>1</v>
      </c>
      <c r="H27" s="56">
        <f t="shared" si="1"/>
        <v>1</v>
      </c>
      <c r="I27" s="56">
        <f t="shared" si="2"/>
        <v>2</v>
      </c>
      <c r="J27" s="56">
        <f t="shared" si="3"/>
        <v>1</v>
      </c>
      <c r="K27" s="61">
        <f t="shared" si="4"/>
        <v>1</v>
      </c>
      <c r="L27" s="61">
        <f t="shared" si="5"/>
        <v>1</v>
      </c>
      <c r="N27" s="56">
        <v>4.3</v>
      </c>
      <c r="O27" s="56" t="s">
        <v>333</v>
      </c>
      <c r="P27" s="56" t="s">
        <v>334</v>
      </c>
      <c r="Q27" s="56" t="s">
        <v>331</v>
      </c>
      <c r="R27" s="56" t="s">
        <v>335</v>
      </c>
      <c r="S27" s="56">
        <f t="shared" si="6"/>
        <v>1</v>
      </c>
      <c r="T27" s="56">
        <f t="shared" si="7"/>
        <v>1</v>
      </c>
      <c r="U27" s="56">
        <f t="shared" si="8"/>
        <v>2</v>
      </c>
      <c r="V27" s="56">
        <f t="shared" si="9"/>
        <v>1</v>
      </c>
      <c r="W27" s="56">
        <f t="shared" si="10"/>
        <v>1</v>
      </c>
      <c r="X27" s="61">
        <f t="shared" si="11"/>
        <v>1</v>
      </c>
    </row>
    <row r="28" spans="2:24" x14ac:dyDescent="0.2">
      <c r="B28" s="55">
        <v>8.4</v>
      </c>
      <c r="C28" s="55" t="s">
        <v>333</v>
      </c>
      <c r="D28" s="55" t="s">
        <v>334</v>
      </c>
      <c r="E28" s="55" t="s">
        <v>331</v>
      </c>
      <c r="F28" s="55" t="s">
        <v>335</v>
      </c>
      <c r="G28" s="55">
        <f t="shared" si="0"/>
        <v>1</v>
      </c>
      <c r="H28" s="55">
        <f t="shared" si="1"/>
        <v>1</v>
      </c>
      <c r="I28" s="55">
        <f t="shared" si="2"/>
        <v>2</v>
      </c>
      <c r="J28" s="55">
        <f t="shared" si="3"/>
        <v>1</v>
      </c>
      <c r="K28" s="60">
        <f t="shared" si="4"/>
        <v>1</v>
      </c>
      <c r="L28" s="60">
        <f t="shared" si="5"/>
        <v>1</v>
      </c>
      <c r="N28" s="55">
        <v>4.4000000000000004</v>
      </c>
      <c r="O28" s="55" t="s">
        <v>333</v>
      </c>
      <c r="P28" s="55" t="s">
        <v>334</v>
      </c>
      <c r="Q28" s="55" t="s">
        <v>331</v>
      </c>
      <c r="R28" s="55" t="s">
        <v>335</v>
      </c>
      <c r="S28" s="55">
        <f t="shared" si="6"/>
        <v>1</v>
      </c>
      <c r="T28" s="55">
        <f t="shared" si="7"/>
        <v>1</v>
      </c>
      <c r="U28" s="55">
        <f t="shared" si="8"/>
        <v>2</v>
      </c>
      <c r="V28" s="55">
        <f t="shared" si="9"/>
        <v>1</v>
      </c>
      <c r="W28" s="55">
        <f t="shared" si="10"/>
        <v>1</v>
      </c>
      <c r="X28" s="60">
        <f t="shared" si="11"/>
        <v>1</v>
      </c>
    </row>
    <row r="29" spans="2:24" x14ac:dyDescent="0.2">
      <c r="B29" s="56">
        <v>8.5</v>
      </c>
      <c r="C29" s="56" t="s">
        <v>333</v>
      </c>
      <c r="D29" s="56" t="s">
        <v>334</v>
      </c>
      <c r="E29" s="56" t="s">
        <v>337</v>
      </c>
      <c r="F29" s="56" t="s">
        <v>335</v>
      </c>
      <c r="G29" s="56">
        <f t="shared" si="0"/>
        <v>1</v>
      </c>
      <c r="H29" s="56">
        <f t="shared" si="1"/>
        <v>1</v>
      </c>
      <c r="I29" s="56">
        <f t="shared" si="2"/>
        <v>1</v>
      </c>
      <c r="J29" s="56">
        <f t="shared" si="3"/>
        <v>1</v>
      </c>
      <c r="K29" s="61">
        <f t="shared" si="4"/>
        <v>1</v>
      </c>
      <c r="L29" s="61">
        <f t="shared" si="5"/>
        <v>1</v>
      </c>
      <c r="N29" s="56">
        <v>4.5</v>
      </c>
      <c r="O29" s="56" t="s">
        <v>333</v>
      </c>
      <c r="P29" s="56" t="s">
        <v>334</v>
      </c>
      <c r="Q29" s="56" t="s">
        <v>337</v>
      </c>
      <c r="R29" s="56" t="s">
        <v>335</v>
      </c>
      <c r="S29" s="56">
        <f t="shared" si="6"/>
        <v>1</v>
      </c>
      <c r="T29" s="56">
        <f t="shared" si="7"/>
        <v>1</v>
      </c>
      <c r="U29" s="56">
        <f t="shared" si="8"/>
        <v>1</v>
      </c>
      <c r="V29" s="56">
        <f t="shared" si="9"/>
        <v>1</v>
      </c>
      <c r="W29" s="56">
        <f t="shared" si="10"/>
        <v>1</v>
      </c>
      <c r="X29" s="61">
        <f t="shared" si="11"/>
        <v>1</v>
      </c>
    </row>
    <row r="30" spans="2:24" x14ac:dyDescent="0.2">
      <c r="B30" s="55">
        <v>9.4</v>
      </c>
      <c r="C30" s="55" t="s">
        <v>315</v>
      </c>
      <c r="D30" s="55" t="s">
        <v>316</v>
      </c>
      <c r="E30" s="55" t="s">
        <v>327</v>
      </c>
      <c r="F30" s="55" t="s">
        <v>323</v>
      </c>
      <c r="G30" s="55">
        <f t="shared" si="0"/>
        <v>5</v>
      </c>
      <c r="H30" s="55">
        <f t="shared" si="1"/>
        <v>4</v>
      </c>
      <c r="I30" s="55">
        <f t="shared" si="2"/>
        <v>4</v>
      </c>
      <c r="J30" s="55">
        <f t="shared" si="3"/>
        <v>4</v>
      </c>
      <c r="K30" s="60">
        <f t="shared" si="4"/>
        <v>4</v>
      </c>
      <c r="L30" s="60">
        <f t="shared" si="5"/>
        <v>4</v>
      </c>
      <c r="N30" s="55">
        <v>4.5999999999999996</v>
      </c>
      <c r="O30" s="55" t="s">
        <v>315</v>
      </c>
      <c r="P30" s="55" t="s">
        <v>316</v>
      </c>
      <c r="Q30" s="55" t="s">
        <v>327</v>
      </c>
      <c r="R30" s="55" t="s">
        <v>323</v>
      </c>
      <c r="S30" s="55">
        <f t="shared" si="6"/>
        <v>5</v>
      </c>
      <c r="T30" s="55">
        <f t="shared" si="7"/>
        <v>4</v>
      </c>
      <c r="U30" s="55">
        <f t="shared" si="8"/>
        <v>4</v>
      </c>
      <c r="V30" s="55">
        <f t="shared" si="9"/>
        <v>4</v>
      </c>
      <c r="W30" s="55">
        <f t="shared" si="10"/>
        <v>4</v>
      </c>
      <c r="X30" s="60">
        <f t="shared" si="11"/>
        <v>4</v>
      </c>
    </row>
    <row r="31" spans="2:24" x14ac:dyDescent="0.2">
      <c r="B31" s="56">
        <v>10.1</v>
      </c>
      <c r="C31" s="56" t="s">
        <v>338</v>
      </c>
      <c r="D31" s="56" t="s">
        <v>316</v>
      </c>
      <c r="E31" s="56" t="s">
        <v>317</v>
      </c>
      <c r="F31" s="56" t="s">
        <v>318</v>
      </c>
      <c r="G31" s="56">
        <f t="shared" si="0"/>
        <v>4</v>
      </c>
      <c r="H31" s="56">
        <f t="shared" si="1"/>
        <v>4</v>
      </c>
      <c r="I31" s="56">
        <f t="shared" si="2"/>
        <v>5</v>
      </c>
      <c r="J31" s="56">
        <f t="shared" si="3"/>
        <v>3</v>
      </c>
      <c r="K31" s="61">
        <f t="shared" si="4"/>
        <v>4</v>
      </c>
      <c r="L31" s="61">
        <f t="shared" si="5"/>
        <v>4</v>
      </c>
      <c r="N31" s="56">
        <v>4.7</v>
      </c>
      <c r="O31" s="56" t="s">
        <v>338</v>
      </c>
      <c r="P31" s="56" t="s">
        <v>316</v>
      </c>
      <c r="Q31" s="56" t="s">
        <v>317</v>
      </c>
      <c r="R31" s="56" t="s">
        <v>318</v>
      </c>
      <c r="S31" s="56">
        <f t="shared" si="6"/>
        <v>4</v>
      </c>
      <c r="T31" s="56">
        <f t="shared" si="7"/>
        <v>4</v>
      </c>
      <c r="U31" s="56">
        <f t="shared" si="8"/>
        <v>5</v>
      </c>
      <c r="V31" s="56">
        <f t="shared" si="9"/>
        <v>3</v>
      </c>
      <c r="W31" s="56">
        <f t="shared" si="10"/>
        <v>4</v>
      </c>
      <c r="X31" s="61">
        <f t="shared" si="11"/>
        <v>4</v>
      </c>
    </row>
    <row r="32" spans="2:24" x14ac:dyDescent="0.2">
      <c r="B32" s="55">
        <v>10.199999999999999</v>
      </c>
      <c r="C32" s="55" t="s">
        <v>320</v>
      </c>
      <c r="D32" s="55" t="s">
        <v>316</v>
      </c>
      <c r="E32" s="55" t="s">
        <v>327</v>
      </c>
      <c r="F32" s="55" t="s">
        <v>326</v>
      </c>
      <c r="G32" s="55">
        <f t="shared" si="0"/>
        <v>3</v>
      </c>
      <c r="H32" s="55">
        <f t="shared" si="1"/>
        <v>4</v>
      </c>
      <c r="I32" s="55">
        <f t="shared" si="2"/>
        <v>4</v>
      </c>
      <c r="J32" s="55">
        <f t="shared" si="3"/>
        <v>5</v>
      </c>
      <c r="K32" s="60">
        <f t="shared" si="4"/>
        <v>4</v>
      </c>
      <c r="L32" s="60">
        <f t="shared" si="5"/>
        <v>4</v>
      </c>
      <c r="N32" s="55">
        <v>5.0999999999999996</v>
      </c>
      <c r="O32" s="55" t="s">
        <v>320</v>
      </c>
      <c r="P32" s="55" t="s">
        <v>316</v>
      </c>
      <c r="Q32" s="55" t="s">
        <v>327</v>
      </c>
      <c r="R32" s="55" t="s">
        <v>326</v>
      </c>
      <c r="S32" s="55">
        <f t="shared" si="6"/>
        <v>3</v>
      </c>
      <c r="T32" s="55">
        <f t="shared" si="7"/>
        <v>4</v>
      </c>
      <c r="U32" s="55">
        <f t="shared" si="8"/>
        <v>4</v>
      </c>
      <c r="V32" s="55">
        <f t="shared" si="9"/>
        <v>5</v>
      </c>
      <c r="W32" s="55">
        <f t="shared" si="10"/>
        <v>4</v>
      </c>
      <c r="X32" s="60">
        <f t="shared" si="11"/>
        <v>4</v>
      </c>
    </row>
    <row r="33" spans="2:24" x14ac:dyDescent="0.2">
      <c r="B33" s="56">
        <v>10.4</v>
      </c>
      <c r="C33" s="56" t="s">
        <v>338</v>
      </c>
      <c r="D33" s="56" t="s">
        <v>325</v>
      </c>
      <c r="E33" s="56" t="s">
        <v>327</v>
      </c>
      <c r="F33" s="56" t="s">
        <v>326</v>
      </c>
      <c r="G33" s="56">
        <f t="shared" si="0"/>
        <v>4</v>
      </c>
      <c r="H33" s="56">
        <f t="shared" si="1"/>
        <v>5</v>
      </c>
      <c r="I33" s="56">
        <f t="shared" si="2"/>
        <v>4</v>
      </c>
      <c r="J33" s="56">
        <f t="shared" si="3"/>
        <v>5</v>
      </c>
      <c r="K33" s="61">
        <f t="shared" si="4"/>
        <v>5</v>
      </c>
      <c r="L33" s="61">
        <f t="shared" si="5"/>
        <v>5</v>
      </c>
      <c r="N33" s="56">
        <v>5.2</v>
      </c>
      <c r="O33" s="56" t="s">
        <v>338</v>
      </c>
      <c r="P33" s="56" t="s">
        <v>325</v>
      </c>
      <c r="Q33" s="56" t="s">
        <v>327</v>
      </c>
      <c r="R33" s="56" t="s">
        <v>326</v>
      </c>
      <c r="S33" s="56">
        <f t="shared" si="6"/>
        <v>4</v>
      </c>
      <c r="T33" s="56">
        <f t="shared" si="7"/>
        <v>5</v>
      </c>
      <c r="U33" s="56">
        <f t="shared" si="8"/>
        <v>4</v>
      </c>
      <c r="V33" s="56">
        <f t="shared" si="9"/>
        <v>5</v>
      </c>
      <c r="W33" s="56">
        <f t="shared" si="10"/>
        <v>5</v>
      </c>
      <c r="X33" s="61">
        <f t="shared" si="11"/>
        <v>5</v>
      </c>
    </row>
    <row r="34" spans="2:24" x14ac:dyDescent="0.2">
      <c r="B34" s="55">
        <v>10.5</v>
      </c>
      <c r="C34" s="55" t="s">
        <v>338</v>
      </c>
      <c r="D34" s="55" t="s">
        <v>325</v>
      </c>
      <c r="E34" s="55" t="s">
        <v>317</v>
      </c>
      <c r="F34" s="55" t="s">
        <v>326</v>
      </c>
      <c r="G34" s="55">
        <f t="shared" si="0"/>
        <v>4</v>
      </c>
      <c r="H34" s="55">
        <f t="shared" si="1"/>
        <v>5</v>
      </c>
      <c r="I34" s="55">
        <f t="shared" si="2"/>
        <v>5</v>
      </c>
      <c r="J34" s="55">
        <f t="shared" si="3"/>
        <v>5</v>
      </c>
      <c r="K34" s="60">
        <f t="shared" si="4"/>
        <v>5</v>
      </c>
      <c r="L34" s="60">
        <f t="shared" si="5"/>
        <v>5</v>
      </c>
      <c r="N34" s="55">
        <v>5.3</v>
      </c>
      <c r="O34" s="55" t="s">
        <v>338</v>
      </c>
      <c r="P34" s="55" t="s">
        <v>325</v>
      </c>
      <c r="Q34" s="55" t="s">
        <v>317</v>
      </c>
      <c r="R34" s="55" t="s">
        <v>326</v>
      </c>
      <c r="S34" s="55">
        <f t="shared" si="6"/>
        <v>4</v>
      </c>
      <c r="T34" s="55">
        <f t="shared" si="7"/>
        <v>5</v>
      </c>
      <c r="U34" s="55">
        <f t="shared" si="8"/>
        <v>5</v>
      </c>
      <c r="V34" s="55">
        <f t="shared" si="9"/>
        <v>5</v>
      </c>
      <c r="W34" s="55">
        <f t="shared" si="10"/>
        <v>5</v>
      </c>
      <c r="X34" s="60">
        <f t="shared" si="11"/>
        <v>5</v>
      </c>
    </row>
    <row r="35" spans="2:24" x14ac:dyDescent="0.2">
      <c r="B35" s="56">
        <v>11.4</v>
      </c>
      <c r="C35" s="56" t="s">
        <v>315</v>
      </c>
      <c r="D35" s="56" t="s">
        <v>316</v>
      </c>
      <c r="E35" s="56" t="s">
        <v>317</v>
      </c>
      <c r="F35" s="56" t="s">
        <v>323</v>
      </c>
      <c r="G35" s="56">
        <f t="shared" si="0"/>
        <v>5</v>
      </c>
      <c r="H35" s="56">
        <f t="shared" si="1"/>
        <v>4</v>
      </c>
      <c r="I35" s="56">
        <f t="shared" si="2"/>
        <v>5</v>
      </c>
      <c r="J35" s="56">
        <f t="shared" si="3"/>
        <v>4</v>
      </c>
      <c r="K35" s="61">
        <f t="shared" si="4"/>
        <v>5</v>
      </c>
      <c r="L35" s="61">
        <f t="shared" si="5"/>
        <v>5</v>
      </c>
      <c r="N35" s="56">
        <v>5.4</v>
      </c>
      <c r="O35" s="56" t="s">
        <v>315</v>
      </c>
      <c r="P35" s="56" t="s">
        <v>316</v>
      </c>
      <c r="Q35" s="56" t="s">
        <v>317</v>
      </c>
      <c r="R35" s="56" t="s">
        <v>323</v>
      </c>
      <c r="S35" s="56">
        <f t="shared" si="6"/>
        <v>5</v>
      </c>
      <c r="T35" s="56">
        <f t="shared" si="7"/>
        <v>4</v>
      </c>
      <c r="U35" s="56">
        <f t="shared" si="8"/>
        <v>5</v>
      </c>
      <c r="V35" s="56">
        <f t="shared" si="9"/>
        <v>4</v>
      </c>
      <c r="W35" s="56">
        <f t="shared" si="10"/>
        <v>5</v>
      </c>
      <c r="X35" s="61">
        <f t="shared" si="11"/>
        <v>5</v>
      </c>
    </row>
    <row r="36" spans="2:24" ht="25.5" x14ac:dyDescent="0.2">
      <c r="B36" s="55">
        <v>12.1</v>
      </c>
      <c r="C36" s="55" t="s">
        <v>339</v>
      </c>
      <c r="D36" s="55" t="s">
        <v>339</v>
      </c>
      <c r="E36" s="55" t="s">
        <v>339</v>
      </c>
      <c r="F36" s="55" t="s">
        <v>339</v>
      </c>
      <c r="G36" s="55" t="str">
        <f t="shared" si="0"/>
        <v>Unknown - Unscored</v>
      </c>
      <c r="H36" s="55" t="str">
        <f t="shared" si="1"/>
        <v>Unknown - Unscored</v>
      </c>
      <c r="I36" s="55" t="str">
        <f t="shared" si="2"/>
        <v>Unknown - Unscored</v>
      </c>
      <c r="J36" s="55" t="str">
        <f t="shared" si="3"/>
        <v>Unknown - Unscored</v>
      </c>
      <c r="K36" s="60" t="e">
        <f t="shared" si="4"/>
        <v>#DIV/0!</v>
      </c>
      <c r="L36" s="60" t="e">
        <f t="shared" si="5"/>
        <v>#DIV/0!</v>
      </c>
      <c r="N36" s="55">
        <v>6.1</v>
      </c>
      <c r="O36" s="55" t="s">
        <v>339</v>
      </c>
      <c r="P36" s="55" t="s">
        <v>339</v>
      </c>
      <c r="Q36" s="55" t="s">
        <v>339</v>
      </c>
      <c r="R36" s="55" t="s">
        <v>339</v>
      </c>
      <c r="S36" s="55" t="str">
        <f t="shared" si="6"/>
        <v>Unknown - Unscored</v>
      </c>
      <c r="T36" s="55" t="str">
        <f t="shared" si="7"/>
        <v>Unknown - Unscored</v>
      </c>
      <c r="U36" s="55" t="str">
        <f t="shared" si="8"/>
        <v>Unknown - Unscored</v>
      </c>
      <c r="V36" s="55" t="str">
        <f t="shared" si="9"/>
        <v>Unknown - Unscored</v>
      </c>
      <c r="W36" s="55" t="e">
        <f t="shared" si="10"/>
        <v>#DIV/0!</v>
      </c>
      <c r="X36" s="60" t="e">
        <f t="shared" si="11"/>
        <v>#DIV/0!</v>
      </c>
    </row>
    <row r="37" spans="2:24" ht="25.5" x14ac:dyDescent="0.2">
      <c r="B37" s="56">
        <v>12.4</v>
      </c>
      <c r="C37" s="56" t="s">
        <v>339</v>
      </c>
      <c r="D37" s="56" t="s">
        <v>339</v>
      </c>
      <c r="E37" s="56" t="s">
        <v>339</v>
      </c>
      <c r="F37" s="56" t="s">
        <v>339</v>
      </c>
      <c r="G37" s="56" t="str">
        <f t="shared" si="0"/>
        <v>Unknown - Unscored</v>
      </c>
      <c r="H37" s="56" t="str">
        <f t="shared" si="1"/>
        <v>Unknown - Unscored</v>
      </c>
      <c r="I37" s="56" t="str">
        <f t="shared" si="2"/>
        <v>Unknown - Unscored</v>
      </c>
      <c r="J37" s="56" t="str">
        <f t="shared" si="3"/>
        <v>Unknown - Unscored</v>
      </c>
      <c r="K37" s="61" t="e">
        <f t="shared" si="4"/>
        <v>#DIV/0!</v>
      </c>
      <c r="L37" s="61" t="e">
        <f t="shared" si="5"/>
        <v>#DIV/0!</v>
      </c>
      <c r="N37" s="56">
        <v>6.2</v>
      </c>
      <c r="O37" s="56" t="s">
        <v>339</v>
      </c>
      <c r="P37" s="56" t="s">
        <v>339</v>
      </c>
      <c r="Q37" s="56" t="s">
        <v>339</v>
      </c>
      <c r="R37" s="56" t="s">
        <v>339</v>
      </c>
      <c r="S37" s="56" t="str">
        <f t="shared" si="6"/>
        <v>Unknown - Unscored</v>
      </c>
      <c r="T37" s="56" t="str">
        <f t="shared" si="7"/>
        <v>Unknown - Unscored</v>
      </c>
      <c r="U37" s="56" t="str">
        <f t="shared" si="8"/>
        <v>Unknown - Unscored</v>
      </c>
      <c r="V37" s="56" t="str">
        <f t="shared" si="9"/>
        <v>Unknown - Unscored</v>
      </c>
      <c r="W37" s="56" t="e">
        <f t="shared" si="10"/>
        <v>#DIV/0!</v>
      </c>
      <c r="X37" s="61" t="e">
        <f t="shared" si="11"/>
        <v>#DIV/0!</v>
      </c>
    </row>
    <row r="38" spans="2:24" ht="25.5" x14ac:dyDescent="0.2">
      <c r="B38" s="55">
        <v>13.1</v>
      </c>
      <c r="C38" s="55" t="s">
        <v>339</v>
      </c>
      <c r="D38" s="55" t="s">
        <v>339</v>
      </c>
      <c r="E38" s="55" t="s">
        <v>339</v>
      </c>
      <c r="F38" s="55" t="s">
        <v>339</v>
      </c>
      <c r="G38" s="55" t="str">
        <f t="shared" si="0"/>
        <v>Unknown - Unscored</v>
      </c>
      <c r="H38" s="55" t="str">
        <f t="shared" si="1"/>
        <v>Unknown - Unscored</v>
      </c>
      <c r="I38" s="55" t="str">
        <f t="shared" si="2"/>
        <v>Unknown - Unscored</v>
      </c>
      <c r="J38" s="55" t="str">
        <f t="shared" si="3"/>
        <v>Unknown - Unscored</v>
      </c>
      <c r="K38" s="60" t="e">
        <f t="shared" si="4"/>
        <v>#DIV/0!</v>
      </c>
      <c r="L38" s="60" t="e">
        <f t="shared" si="5"/>
        <v>#DIV/0!</v>
      </c>
      <c r="N38" s="55">
        <v>6.3</v>
      </c>
      <c r="O38" s="55" t="s">
        <v>339</v>
      </c>
      <c r="P38" s="55" t="s">
        <v>339</v>
      </c>
      <c r="Q38" s="55" t="s">
        <v>339</v>
      </c>
      <c r="R38" s="55" t="s">
        <v>339</v>
      </c>
      <c r="S38" s="55" t="str">
        <f t="shared" si="6"/>
        <v>Unknown - Unscored</v>
      </c>
      <c r="T38" s="55" t="str">
        <f t="shared" si="7"/>
        <v>Unknown - Unscored</v>
      </c>
      <c r="U38" s="55" t="str">
        <f t="shared" si="8"/>
        <v>Unknown - Unscored</v>
      </c>
      <c r="V38" s="55" t="str">
        <f t="shared" si="9"/>
        <v>Unknown - Unscored</v>
      </c>
      <c r="W38" s="55" t="e">
        <f t="shared" si="10"/>
        <v>#DIV/0!</v>
      </c>
      <c r="X38" s="60" t="e">
        <f t="shared" si="11"/>
        <v>#DIV/0!</v>
      </c>
    </row>
    <row r="39" spans="2:24" ht="25.5" x14ac:dyDescent="0.2">
      <c r="B39" s="56">
        <v>13.2</v>
      </c>
      <c r="C39" s="56" t="s">
        <v>339</v>
      </c>
      <c r="D39" s="56" t="s">
        <v>339</v>
      </c>
      <c r="E39" s="56" t="s">
        <v>339</v>
      </c>
      <c r="F39" s="56" t="s">
        <v>339</v>
      </c>
      <c r="G39" s="56" t="str">
        <f t="shared" si="0"/>
        <v>Unknown - Unscored</v>
      </c>
      <c r="H39" s="56" t="str">
        <f t="shared" si="1"/>
        <v>Unknown - Unscored</v>
      </c>
      <c r="I39" s="56" t="str">
        <f t="shared" si="2"/>
        <v>Unknown - Unscored</v>
      </c>
      <c r="J39" s="56" t="str">
        <f t="shared" si="3"/>
        <v>Unknown - Unscored</v>
      </c>
      <c r="K39" s="61" t="e">
        <f t="shared" si="4"/>
        <v>#DIV/0!</v>
      </c>
      <c r="L39" s="61" t="e">
        <f t="shared" si="5"/>
        <v>#DIV/0!</v>
      </c>
      <c r="N39" s="56">
        <v>6.4</v>
      </c>
      <c r="O39" s="56" t="s">
        <v>339</v>
      </c>
      <c r="P39" s="56" t="s">
        <v>339</v>
      </c>
      <c r="Q39" s="56" t="s">
        <v>339</v>
      </c>
      <c r="R39" s="56" t="s">
        <v>339</v>
      </c>
      <c r="S39" s="56" t="str">
        <f t="shared" si="6"/>
        <v>Unknown - Unscored</v>
      </c>
      <c r="T39" s="56" t="str">
        <f t="shared" si="7"/>
        <v>Unknown - Unscored</v>
      </c>
      <c r="U39" s="56" t="str">
        <f t="shared" si="8"/>
        <v>Unknown - Unscored</v>
      </c>
      <c r="V39" s="56" t="str">
        <f t="shared" si="9"/>
        <v>Unknown - Unscored</v>
      </c>
      <c r="W39" s="56" t="e">
        <f t="shared" si="10"/>
        <v>#DIV/0!</v>
      </c>
      <c r="X39" s="61" t="e">
        <f t="shared" si="11"/>
        <v>#DIV/0!</v>
      </c>
    </row>
    <row r="40" spans="2:24" ht="25.5" x14ac:dyDescent="0.2">
      <c r="B40" s="55">
        <v>13.6</v>
      </c>
      <c r="C40" s="55" t="s">
        <v>339</v>
      </c>
      <c r="D40" s="55" t="s">
        <v>339</v>
      </c>
      <c r="E40" s="55" t="s">
        <v>339</v>
      </c>
      <c r="F40" s="55" t="s">
        <v>339</v>
      </c>
      <c r="G40" s="55" t="str">
        <f t="shared" si="0"/>
        <v>Unknown - Unscored</v>
      </c>
      <c r="H40" s="55" t="str">
        <f t="shared" si="1"/>
        <v>Unknown - Unscored</v>
      </c>
      <c r="I40" s="55" t="str">
        <f t="shared" si="2"/>
        <v>Unknown - Unscored</v>
      </c>
      <c r="J40" s="55" t="str">
        <f t="shared" si="3"/>
        <v>Unknown - Unscored</v>
      </c>
      <c r="K40" s="60" t="e">
        <f t="shared" si="4"/>
        <v>#DIV/0!</v>
      </c>
      <c r="L40" s="60" t="e">
        <f t="shared" si="5"/>
        <v>#DIV/0!</v>
      </c>
      <c r="N40" s="55">
        <v>6.5</v>
      </c>
      <c r="O40" s="55" t="s">
        <v>339</v>
      </c>
      <c r="P40" s="55" t="s">
        <v>339</v>
      </c>
      <c r="Q40" s="55" t="s">
        <v>339</v>
      </c>
      <c r="R40" s="55" t="s">
        <v>339</v>
      </c>
      <c r="S40" s="55" t="str">
        <f t="shared" si="6"/>
        <v>Unknown - Unscored</v>
      </c>
      <c r="T40" s="55" t="str">
        <f t="shared" si="7"/>
        <v>Unknown - Unscored</v>
      </c>
      <c r="U40" s="55" t="str">
        <f t="shared" si="8"/>
        <v>Unknown - Unscored</v>
      </c>
      <c r="V40" s="55" t="str">
        <f t="shared" si="9"/>
        <v>Unknown - Unscored</v>
      </c>
      <c r="W40" s="55" t="e">
        <f t="shared" si="10"/>
        <v>#DIV/0!</v>
      </c>
      <c r="X40" s="60" t="e">
        <f t="shared" si="11"/>
        <v>#DIV/0!</v>
      </c>
    </row>
    <row r="41" spans="2:24" x14ac:dyDescent="0.2">
      <c r="B41" s="56">
        <v>14.6</v>
      </c>
      <c r="C41" s="56" t="s">
        <v>315</v>
      </c>
      <c r="D41" s="56" t="s">
        <v>325</v>
      </c>
      <c r="E41" s="56" t="s">
        <v>317</v>
      </c>
      <c r="F41" s="56" t="s">
        <v>326</v>
      </c>
      <c r="G41" s="56">
        <f t="shared" si="0"/>
        <v>5</v>
      </c>
      <c r="H41" s="56">
        <f t="shared" si="1"/>
        <v>5</v>
      </c>
      <c r="I41" s="56">
        <f t="shared" si="2"/>
        <v>5</v>
      </c>
      <c r="J41" s="56">
        <f t="shared" si="3"/>
        <v>5</v>
      </c>
      <c r="K41" s="61">
        <f t="shared" si="4"/>
        <v>5</v>
      </c>
      <c r="L41" s="61">
        <f t="shared" si="5"/>
        <v>5</v>
      </c>
      <c r="N41" s="56">
        <v>7.1</v>
      </c>
      <c r="O41" s="56" t="s">
        <v>315</v>
      </c>
      <c r="P41" s="56" t="s">
        <v>325</v>
      </c>
      <c r="Q41" s="56" t="s">
        <v>317</v>
      </c>
      <c r="R41" s="56" t="s">
        <v>326</v>
      </c>
      <c r="S41" s="56">
        <f t="shared" si="6"/>
        <v>5</v>
      </c>
      <c r="T41" s="56">
        <f t="shared" si="7"/>
        <v>5</v>
      </c>
      <c r="U41" s="56">
        <f t="shared" si="8"/>
        <v>5</v>
      </c>
      <c r="V41" s="56">
        <f t="shared" si="9"/>
        <v>5</v>
      </c>
      <c r="W41" s="56">
        <f t="shared" si="10"/>
        <v>5</v>
      </c>
      <c r="X41" s="61">
        <f t="shared" si="11"/>
        <v>5</v>
      </c>
    </row>
    <row r="42" spans="2:24" x14ac:dyDescent="0.2">
      <c r="B42" s="55">
        <v>15.7</v>
      </c>
      <c r="C42" s="55" t="s">
        <v>315</v>
      </c>
      <c r="D42" s="55" t="s">
        <v>325</v>
      </c>
      <c r="E42" s="55" t="s">
        <v>317</v>
      </c>
      <c r="F42" s="55" t="s">
        <v>326</v>
      </c>
      <c r="G42" s="55">
        <f t="shared" si="0"/>
        <v>5</v>
      </c>
      <c r="H42" s="55">
        <f t="shared" si="1"/>
        <v>5</v>
      </c>
      <c r="I42" s="55">
        <f t="shared" si="2"/>
        <v>5</v>
      </c>
      <c r="J42" s="55">
        <f t="shared" si="3"/>
        <v>5</v>
      </c>
      <c r="K42" s="60">
        <f t="shared" si="4"/>
        <v>5</v>
      </c>
      <c r="L42" s="60">
        <f t="shared" si="5"/>
        <v>5</v>
      </c>
      <c r="N42" s="55">
        <v>7.2</v>
      </c>
      <c r="O42" s="55" t="s">
        <v>315</v>
      </c>
      <c r="P42" s="55" t="s">
        <v>325</v>
      </c>
      <c r="Q42" s="55" t="s">
        <v>317</v>
      </c>
      <c r="R42" s="55" t="s">
        <v>326</v>
      </c>
      <c r="S42" s="55">
        <f t="shared" si="6"/>
        <v>5</v>
      </c>
      <c r="T42" s="55">
        <f t="shared" si="7"/>
        <v>5</v>
      </c>
      <c r="U42" s="55">
        <f t="shared" si="8"/>
        <v>5</v>
      </c>
      <c r="V42" s="55">
        <f t="shared" si="9"/>
        <v>5</v>
      </c>
      <c r="W42" s="55">
        <f t="shared" si="10"/>
        <v>5</v>
      </c>
      <c r="X42" s="60">
        <f t="shared" si="11"/>
        <v>5</v>
      </c>
    </row>
    <row r="43" spans="2:24" x14ac:dyDescent="0.2">
      <c r="B43" s="84">
        <v>15.1</v>
      </c>
      <c r="C43" s="56" t="s">
        <v>315</v>
      </c>
      <c r="D43" s="56" t="s">
        <v>325</v>
      </c>
      <c r="E43" s="56" t="s">
        <v>317</v>
      </c>
      <c r="F43" s="56" t="s">
        <v>326</v>
      </c>
      <c r="G43" s="56">
        <f t="shared" si="0"/>
        <v>5</v>
      </c>
      <c r="H43" s="56">
        <f t="shared" si="1"/>
        <v>5</v>
      </c>
      <c r="I43" s="56">
        <f t="shared" si="2"/>
        <v>5</v>
      </c>
      <c r="J43" s="56">
        <f t="shared" si="3"/>
        <v>5</v>
      </c>
      <c r="K43" s="61">
        <f t="shared" si="4"/>
        <v>5</v>
      </c>
      <c r="L43" s="61">
        <f t="shared" si="5"/>
        <v>5</v>
      </c>
      <c r="N43" s="56">
        <v>7.3</v>
      </c>
      <c r="O43" s="56" t="s">
        <v>315</v>
      </c>
      <c r="P43" s="56" t="s">
        <v>325</v>
      </c>
      <c r="Q43" s="56" t="s">
        <v>317</v>
      </c>
      <c r="R43" s="56" t="s">
        <v>326</v>
      </c>
      <c r="S43" s="56">
        <f t="shared" si="6"/>
        <v>5</v>
      </c>
      <c r="T43" s="56">
        <f t="shared" si="7"/>
        <v>5</v>
      </c>
      <c r="U43" s="56">
        <f t="shared" si="8"/>
        <v>5</v>
      </c>
      <c r="V43" s="56">
        <f t="shared" si="9"/>
        <v>5</v>
      </c>
      <c r="W43" s="56">
        <f t="shared" si="10"/>
        <v>5</v>
      </c>
      <c r="X43" s="61">
        <f t="shared" si="11"/>
        <v>5</v>
      </c>
    </row>
    <row r="44" spans="2:24" ht="25.5" x14ac:dyDescent="0.2">
      <c r="B44" s="55">
        <v>16.8</v>
      </c>
      <c r="C44" s="55" t="s">
        <v>339</v>
      </c>
      <c r="D44" s="55" t="s">
        <v>339</v>
      </c>
      <c r="E44" s="55" t="s">
        <v>339</v>
      </c>
      <c r="F44" s="55" t="s">
        <v>339</v>
      </c>
      <c r="G44" s="55" t="str">
        <f t="shared" si="0"/>
        <v>Unknown - Unscored</v>
      </c>
      <c r="H44" s="55" t="str">
        <f t="shared" si="1"/>
        <v>Unknown - Unscored</v>
      </c>
      <c r="I44" s="55" t="str">
        <f t="shared" si="2"/>
        <v>Unknown - Unscored</v>
      </c>
      <c r="J44" s="55" t="str">
        <f t="shared" si="3"/>
        <v>Unknown - Unscored</v>
      </c>
      <c r="K44" s="60" t="e">
        <f t="shared" si="4"/>
        <v>#DIV/0!</v>
      </c>
      <c r="L44" s="60" t="e">
        <f t="shared" si="5"/>
        <v>#DIV/0!</v>
      </c>
      <c r="N44" s="55">
        <v>7.4</v>
      </c>
      <c r="O44" s="55" t="s">
        <v>339</v>
      </c>
      <c r="P44" s="55" t="s">
        <v>339</v>
      </c>
      <c r="Q44" s="55" t="s">
        <v>339</v>
      </c>
      <c r="R44" s="55" t="s">
        <v>339</v>
      </c>
      <c r="S44" s="55" t="str">
        <f t="shared" si="6"/>
        <v>Unknown - Unscored</v>
      </c>
      <c r="T44" s="55" t="str">
        <f t="shared" si="7"/>
        <v>Unknown - Unscored</v>
      </c>
      <c r="U44" s="55" t="str">
        <f t="shared" si="8"/>
        <v>Unknown - Unscored</v>
      </c>
      <c r="V44" s="55" t="str">
        <f t="shared" si="9"/>
        <v>Unknown - Unscored</v>
      </c>
      <c r="W44" s="55" t="e">
        <f t="shared" si="10"/>
        <v>#DIV/0!</v>
      </c>
      <c r="X44" s="60" t="e">
        <f t="shared" si="11"/>
        <v>#DIV/0!</v>
      </c>
    </row>
    <row r="45" spans="2:24" ht="25.5" x14ac:dyDescent="0.2">
      <c r="B45" s="56">
        <v>16.899999999999999</v>
      </c>
      <c r="C45" s="56" t="s">
        <v>339</v>
      </c>
      <c r="D45" s="56" t="s">
        <v>339</v>
      </c>
      <c r="E45" s="56" t="s">
        <v>339</v>
      </c>
      <c r="F45" s="56" t="s">
        <v>339</v>
      </c>
      <c r="G45" s="56" t="str">
        <f t="shared" si="0"/>
        <v>Unknown - Unscored</v>
      </c>
      <c r="H45" s="56" t="str">
        <f t="shared" si="1"/>
        <v>Unknown - Unscored</v>
      </c>
      <c r="I45" s="56" t="str">
        <f t="shared" si="2"/>
        <v>Unknown - Unscored</v>
      </c>
      <c r="J45" s="56" t="str">
        <f t="shared" si="3"/>
        <v>Unknown - Unscored</v>
      </c>
      <c r="K45" s="61" t="e">
        <f t="shared" si="4"/>
        <v>#DIV/0!</v>
      </c>
      <c r="L45" s="61" t="e">
        <f t="shared" si="5"/>
        <v>#DIV/0!</v>
      </c>
      <c r="N45" s="56">
        <v>8.1</v>
      </c>
      <c r="O45" s="56" t="s">
        <v>339</v>
      </c>
      <c r="P45" s="56" t="s">
        <v>339</v>
      </c>
      <c r="Q45" s="56" t="s">
        <v>339</v>
      </c>
      <c r="R45" s="56" t="s">
        <v>339</v>
      </c>
      <c r="S45" s="56" t="str">
        <f t="shared" si="6"/>
        <v>Unknown - Unscored</v>
      </c>
      <c r="T45" s="56" t="str">
        <f t="shared" si="7"/>
        <v>Unknown - Unscored</v>
      </c>
      <c r="U45" s="56" t="str">
        <f t="shared" si="8"/>
        <v>Unknown - Unscored</v>
      </c>
      <c r="V45" s="56" t="str">
        <f t="shared" si="9"/>
        <v>Unknown - Unscored</v>
      </c>
      <c r="W45" s="56" t="e">
        <f t="shared" si="10"/>
        <v>#DIV/0!</v>
      </c>
      <c r="X45" s="61" t="e">
        <f t="shared" si="11"/>
        <v>#DIV/0!</v>
      </c>
    </row>
    <row r="46" spans="2:24" x14ac:dyDescent="0.2">
      <c r="B46" s="55">
        <v>16.11</v>
      </c>
      <c r="C46" s="55" t="s">
        <v>315</v>
      </c>
      <c r="D46" s="55" t="s">
        <v>325</v>
      </c>
      <c r="E46" s="55" t="s">
        <v>317</v>
      </c>
      <c r="F46" s="55" t="s">
        <v>326</v>
      </c>
      <c r="G46" s="55">
        <f t="shared" si="0"/>
        <v>5</v>
      </c>
      <c r="H46" s="55">
        <f t="shared" si="1"/>
        <v>5</v>
      </c>
      <c r="I46" s="55">
        <f t="shared" si="2"/>
        <v>5</v>
      </c>
      <c r="J46" s="55">
        <f t="shared" si="3"/>
        <v>5</v>
      </c>
      <c r="K46" s="60">
        <f t="shared" si="4"/>
        <v>5</v>
      </c>
      <c r="L46" s="60">
        <f t="shared" si="5"/>
        <v>5</v>
      </c>
      <c r="N46" s="55">
        <v>8.1999999999999993</v>
      </c>
      <c r="O46" s="55" t="s">
        <v>315</v>
      </c>
      <c r="P46" s="55" t="s">
        <v>325</v>
      </c>
      <c r="Q46" s="55" t="s">
        <v>317</v>
      </c>
      <c r="R46" s="55" t="s">
        <v>326</v>
      </c>
      <c r="S46" s="55">
        <f t="shared" si="6"/>
        <v>5</v>
      </c>
      <c r="T46" s="55">
        <f t="shared" si="7"/>
        <v>5</v>
      </c>
      <c r="U46" s="55">
        <f t="shared" si="8"/>
        <v>5</v>
      </c>
      <c r="V46" s="55">
        <f t="shared" si="9"/>
        <v>5</v>
      </c>
      <c r="W46" s="55">
        <f t="shared" si="10"/>
        <v>5</v>
      </c>
      <c r="X46" s="60">
        <f t="shared" si="11"/>
        <v>5</v>
      </c>
    </row>
    <row r="47" spans="2:24" x14ac:dyDescent="0.2">
      <c r="B47" s="56">
        <v>17.3</v>
      </c>
      <c r="C47" s="56" t="s">
        <v>315</v>
      </c>
      <c r="D47" s="56" t="s">
        <v>325</v>
      </c>
      <c r="E47" s="56" t="s">
        <v>317</v>
      </c>
      <c r="F47" s="56" t="s">
        <v>326</v>
      </c>
      <c r="G47" s="56">
        <f t="shared" si="0"/>
        <v>5</v>
      </c>
      <c r="H47" s="56">
        <f t="shared" si="1"/>
        <v>5</v>
      </c>
      <c r="I47" s="56">
        <f t="shared" si="2"/>
        <v>5</v>
      </c>
      <c r="J47" s="56">
        <f t="shared" si="3"/>
        <v>5</v>
      </c>
      <c r="K47" s="61">
        <f t="shared" si="4"/>
        <v>5</v>
      </c>
      <c r="L47" s="61">
        <f t="shared" si="5"/>
        <v>5</v>
      </c>
      <c r="N47" s="56">
        <v>8.3000000000000007</v>
      </c>
      <c r="O47" s="56" t="s">
        <v>315</v>
      </c>
      <c r="P47" s="56" t="s">
        <v>325</v>
      </c>
      <c r="Q47" s="56" t="s">
        <v>317</v>
      </c>
      <c r="R47" s="56" t="s">
        <v>326</v>
      </c>
      <c r="S47" s="56">
        <f t="shared" si="6"/>
        <v>5</v>
      </c>
      <c r="T47" s="56">
        <f t="shared" si="7"/>
        <v>5</v>
      </c>
      <c r="U47" s="56">
        <f t="shared" si="8"/>
        <v>5</v>
      </c>
      <c r="V47" s="56">
        <f t="shared" si="9"/>
        <v>5</v>
      </c>
      <c r="W47" s="56">
        <f t="shared" si="10"/>
        <v>5</v>
      </c>
      <c r="X47" s="61">
        <f t="shared" si="11"/>
        <v>5</v>
      </c>
    </row>
    <row r="48" spans="2:24" ht="25.5" x14ac:dyDescent="0.2">
      <c r="B48" s="55">
        <v>17.5</v>
      </c>
      <c r="C48" s="55" t="s">
        <v>339</v>
      </c>
      <c r="D48" s="55" t="s">
        <v>339</v>
      </c>
      <c r="E48" s="55" t="s">
        <v>339</v>
      </c>
      <c r="F48" s="55" t="s">
        <v>339</v>
      </c>
      <c r="G48" s="55" t="str">
        <f t="shared" si="0"/>
        <v>Unknown - Unscored</v>
      </c>
      <c r="H48" s="55" t="str">
        <f t="shared" si="1"/>
        <v>Unknown - Unscored</v>
      </c>
      <c r="I48" s="55" t="str">
        <f t="shared" si="2"/>
        <v>Unknown - Unscored</v>
      </c>
      <c r="J48" s="55" t="str">
        <f t="shared" si="3"/>
        <v>Unknown - Unscored</v>
      </c>
      <c r="K48" s="60" t="e">
        <f t="shared" si="4"/>
        <v>#DIV/0!</v>
      </c>
      <c r="L48" s="60" t="e">
        <f t="shared" si="5"/>
        <v>#DIV/0!</v>
      </c>
      <c r="N48" s="55">
        <v>9.1</v>
      </c>
      <c r="O48" s="55" t="s">
        <v>339</v>
      </c>
      <c r="P48" s="55" t="s">
        <v>339</v>
      </c>
      <c r="Q48" s="55" t="s">
        <v>339</v>
      </c>
      <c r="R48" s="55" t="s">
        <v>339</v>
      </c>
      <c r="S48" s="55" t="str">
        <f t="shared" si="6"/>
        <v>Unknown - Unscored</v>
      </c>
      <c r="T48" s="55" t="str">
        <f t="shared" si="7"/>
        <v>Unknown - Unscored</v>
      </c>
      <c r="U48" s="55" t="str">
        <f t="shared" si="8"/>
        <v>Unknown - Unscored</v>
      </c>
      <c r="V48" s="55" t="str">
        <f t="shared" si="9"/>
        <v>Unknown - Unscored</v>
      </c>
      <c r="W48" s="55" t="e">
        <f t="shared" si="10"/>
        <v>#DIV/0!</v>
      </c>
      <c r="X48" s="60" t="e">
        <f t="shared" si="11"/>
        <v>#DIV/0!</v>
      </c>
    </row>
    <row r="49" spans="2:24" ht="25.5" x14ac:dyDescent="0.2">
      <c r="B49" s="56">
        <v>17.600000000000001</v>
      </c>
      <c r="C49" s="56" t="s">
        <v>339</v>
      </c>
      <c r="D49" s="56" t="s">
        <v>339</v>
      </c>
      <c r="E49" s="56" t="s">
        <v>339</v>
      </c>
      <c r="F49" s="56" t="s">
        <v>339</v>
      </c>
      <c r="G49" s="56" t="str">
        <f t="shared" si="0"/>
        <v>Unknown - Unscored</v>
      </c>
      <c r="H49" s="56" t="str">
        <f t="shared" si="1"/>
        <v>Unknown - Unscored</v>
      </c>
      <c r="I49" s="56" t="str">
        <f t="shared" si="2"/>
        <v>Unknown - Unscored</v>
      </c>
      <c r="J49" s="56" t="str">
        <f t="shared" si="3"/>
        <v>Unknown - Unscored</v>
      </c>
      <c r="K49" s="61" t="e">
        <f t="shared" si="4"/>
        <v>#DIV/0!</v>
      </c>
      <c r="L49" s="61" t="e">
        <f t="shared" si="5"/>
        <v>#DIV/0!</v>
      </c>
      <c r="N49" s="56">
        <v>9.1999999999999993</v>
      </c>
      <c r="O49" s="56" t="s">
        <v>339</v>
      </c>
      <c r="P49" s="56" t="s">
        <v>339</v>
      </c>
      <c r="Q49" s="56" t="s">
        <v>339</v>
      </c>
      <c r="R49" s="56" t="s">
        <v>339</v>
      </c>
      <c r="S49" s="56" t="str">
        <f t="shared" si="6"/>
        <v>Unknown - Unscored</v>
      </c>
      <c r="T49" s="56" t="str">
        <f t="shared" si="7"/>
        <v>Unknown - Unscored</v>
      </c>
      <c r="U49" s="56" t="str">
        <f t="shared" si="8"/>
        <v>Unknown - Unscored</v>
      </c>
      <c r="V49" s="56" t="str">
        <f t="shared" si="9"/>
        <v>Unknown - Unscored</v>
      </c>
      <c r="W49" s="56" t="e">
        <f t="shared" si="10"/>
        <v>#DIV/0!</v>
      </c>
      <c r="X49" s="61" t="e">
        <f t="shared" si="11"/>
        <v>#DIV/0!</v>
      </c>
    </row>
    <row r="50" spans="2:24" ht="25.5" x14ac:dyDescent="0.2">
      <c r="B50" s="55">
        <v>17.7</v>
      </c>
      <c r="C50" s="55" t="s">
        <v>339</v>
      </c>
      <c r="D50" s="55" t="s">
        <v>339</v>
      </c>
      <c r="E50" s="55" t="s">
        <v>339</v>
      </c>
      <c r="F50" s="55" t="s">
        <v>339</v>
      </c>
      <c r="G50" s="55" t="str">
        <f t="shared" si="0"/>
        <v>Unknown - Unscored</v>
      </c>
      <c r="H50" s="55" t="str">
        <f t="shared" si="1"/>
        <v>Unknown - Unscored</v>
      </c>
      <c r="I50" s="55" t="str">
        <f t="shared" si="2"/>
        <v>Unknown - Unscored</v>
      </c>
      <c r="J50" s="55" t="str">
        <f t="shared" si="3"/>
        <v>Unknown - Unscored</v>
      </c>
      <c r="K50" s="60" t="e">
        <f t="shared" si="4"/>
        <v>#DIV/0!</v>
      </c>
      <c r="L50" s="60" t="e">
        <f t="shared" si="5"/>
        <v>#DIV/0!</v>
      </c>
      <c r="N50" s="55">
        <v>10.1</v>
      </c>
      <c r="O50" s="55" t="s">
        <v>339</v>
      </c>
      <c r="P50" s="55" t="s">
        <v>339</v>
      </c>
      <c r="Q50" s="55" t="s">
        <v>339</v>
      </c>
      <c r="R50" s="55" t="s">
        <v>339</v>
      </c>
      <c r="S50" s="55" t="str">
        <f t="shared" si="6"/>
        <v>Unknown - Unscored</v>
      </c>
      <c r="T50" s="55" t="str">
        <f t="shared" si="7"/>
        <v>Unknown - Unscored</v>
      </c>
      <c r="U50" s="55" t="str">
        <f t="shared" si="8"/>
        <v>Unknown - Unscored</v>
      </c>
      <c r="V50" s="55" t="str">
        <f t="shared" si="9"/>
        <v>Unknown - Unscored</v>
      </c>
      <c r="W50" s="55" t="e">
        <f t="shared" si="10"/>
        <v>#DIV/0!</v>
      </c>
      <c r="X50" s="60" t="e">
        <f t="shared" si="11"/>
        <v>#DIV/0!</v>
      </c>
    </row>
    <row r="51" spans="2:24" ht="25.5" x14ac:dyDescent="0.2">
      <c r="B51" s="56">
        <v>17.8</v>
      </c>
      <c r="C51" s="56" t="s">
        <v>339</v>
      </c>
      <c r="D51" s="56" t="s">
        <v>339</v>
      </c>
      <c r="E51" s="56" t="s">
        <v>339</v>
      </c>
      <c r="F51" s="56" t="s">
        <v>339</v>
      </c>
      <c r="G51" s="56" t="str">
        <f t="shared" si="0"/>
        <v>Unknown - Unscored</v>
      </c>
      <c r="H51" s="56" t="str">
        <f t="shared" si="1"/>
        <v>Unknown - Unscored</v>
      </c>
      <c r="I51" s="56" t="str">
        <f t="shared" si="2"/>
        <v>Unknown - Unscored</v>
      </c>
      <c r="J51" s="56" t="str">
        <f t="shared" si="3"/>
        <v>Unknown - Unscored</v>
      </c>
      <c r="K51" s="61" t="e">
        <f t="shared" si="4"/>
        <v>#DIV/0!</v>
      </c>
      <c r="L51" s="61" t="e">
        <f t="shared" si="5"/>
        <v>#DIV/0!</v>
      </c>
      <c r="N51" s="56">
        <v>10.199999999999999</v>
      </c>
      <c r="O51" s="56" t="s">
        <v>339</v>
      </c>
      <c r="P51" s="56" t="s">
        <v>339</v>
      </c>
      <c r="Q51" s="56" t="s">
        <v>339</v>
      </c>
      <c r="R51" s="56" t="s">
        <v>339</v>
      </c>
      <c r="S51" s="56" t="str">
        <f t="shared" si="6"/>
        <v>Unknown - Unscored</v>
      </c>
      <c r="T51" s="56" t="str">
        <f t="shared" si="7"/>
        <v>Unknown - Unscored</v>
      </c>
      <c r="U51" s="56" t="str">
        <f t="shared" si="8"/>
        <v>Unknown - Unscored</v>
      </c>
      <c r="V51" s="56" t="str">
        <f t="shared" si="9"/>
        <v>Unknown - Unscored</v>
      </c>
      <c r="W51" s="56" t="e">
        <f t="shared" si="10"/>
        <v>#DIV/0!</v>
      </c>
      <c r="X51" s="61" t="e">
        <f t="shared" si="11"/>
        <v>#DIV/0!</v>
      </c>
    </row>
    <row r="52" spans="2:24" ht="25.5" x14ac:dyDescent="0.2">
      <c r="B52" s="55">
        <v>17.899999999999999</v>
      </c>
      <c r="C52" s="55" t="s">
        <v>339</v>
      </c>
      <c r="D52" s="55" t="s">
        <v>339</v>
      </c>
      <c r="E52" s="55" t="s">
        <v>339</v>
      </c>
      <c r="F52" s="55" t="s">
        <v>339</v>
      </c>
      <c r="G52" s="55" t="str">
        <f t="shared" si="0"/>
        <v>Unknown - Unscored</v>
      </c>
      <c r="H52" s="55" t="str">
        <f t="shared" si="1"/>
        <v>Unknown - Unscored</v>
      </c>
      <c r="I52" s="55" t="str">
        <f t="shared" si="2"/>
        <v>Unknown - Unscored</v>
      </c>
      <c r="J52" s="55" t="str">
        <f t="shared" si="3"/>
        <v>Unknown - Unscored</v>
      </c>
      <c r="K52" s="60" t="e">
        <f t="shared" si="4"/>
        <v>#DIV/0!</v>
      </c>
      <c r="L52" s="60" t="e">
        <f t="shared" si="5"/>
        <v>#DIV/0!</v>
      </c>
      <c r="N52" s="55">
        <v>10.3</v>
      </c>
      <c r="O52" s="55" t="s">
        <v>339</v>
      </c>
      <c r="P52" s="55" t="s">
        <v>339</v>
      </c>
      <c r="Q52" s="55" t="s">
        <v>339</v>
      </c>
      <c r="R52" s="55" t="s">
        <v>339</v>
      </c>
      <c r="S52" s="55" t="str">
        <f t="shared" si="6"/>
        <v>Unknown - Unscored</v>
      </c>
      <c r="T52" s="55" t="str">
        <f t="shared" si="7"/>
        <v>Unknown - Unscored</v>
      </c>
      <c r="U52" s="55" t="str">
        <f t="shared" si="8"/>
        <v>Unknown - Unscored</v>
      </c>
      <c r="V52" s="55" t="str">
        <f t="shared" si="9"/>
        <v>Unknown - Unscored</v>
      </c>
      <c r="W52" s="55" t="e">
        <f t="shared" si="10"/>
        <v>#DIV/0!</v>
      </c>
      <c r="X52" s="60" t="e">
        <f t="shared" si="11"/>
        <v>#DIV/0!</v>
      </c>
    </row>
    <row r="53" spans="2:24" ht="25.5" x14ac:dyDescent="0.2">
      <c r="B53" s="56">
        <v>19.100000000000001</v>
      </c>
      <c r="C53" s="56" t="s">
        <v>339</v>
      </c>
      <c r="D53" s="56" t="s">
        <v>339</v>
      </c>
      <c r="E53" s="56" t="s">
        <v>339</v>
      </c>
      <c r="F53" s="56" t="s">
        <v>339</v>
      </c>
      <c r="G53" s="56" t="str">
        <f t="shared" si="0"/>
        <v>Unknown - Unscored</v>
      </c>
      <c r="H53" s="56" t="str">
        <f t="shared" si="1"/>
        <v>Unknown - Unscored</v>
      </c>
      <c r="I53" s="56" t="str">
        <f t="shared" si="2"/>
        <v>Unknown - Unscored</v>
      </c>
      <c r="J53" s="56" t="str">
        <f t="shared" si="3"/>
        <v>Unknown - Unscored</v>
      </c>
      <c r="K53" s="61" t="e">
        <f t="shared" si="4"/>
        <v>#DIV/0!</v>
      </c>
      <c r="L53" s="61" t="e">
        <f t="shared" si="5"/>
        <v>#DIV/0!</v>
      </c>
      <c r="N53" s="56">
        <v>11.1</v>
      </c>
      <c r="O53" s="56" t="s">
        <v>339</v>
      </c>
      <c r="P53" s="56" t="s">
        <v>339</v>
      </c>
      <c r="Q53" s="56" t="s">
        <v>339</v>
      </c>
      <c r="R53" s="56" t="s">
        <v>339</v>
      </c>
      <c r="S53" s="56" t="str">
        <f t="shared" si="6"/>
        <v>Unknown - Unscored</v>
      </c>
      <c r="T53" s="56" t="str">
        <f t="shared" si="7"/>
        <v>Unknown - Unscored</v>
      </c>
      <c r="U53" s="56" t="str">
        <f t="shared" si="8"/>
        <v>Unknown - Unscored</v>
      </c>
      <c r="V53" s="56" t="str">
        <f t="shared" si="9"/>
        <v>Unknown - Unscored</v>
      </c>
      <c r="W53" s="56" t="e">
        <f t="shared" si="10"/>
        <v>#DIV/0!</v>
      </c>
      <c r="X53" s="61" t="e">
        <f t="shared" si="11"/>
        <v>#DIV/0!</v>
      </c>
    </row>
    <row r="54" spans="2:24" x14ac:dyDescent="0.2">
      <c r="B54" s="55">
        <v>19.3</v>
      </c>
      <c r="C54" s="55" t="s">
        <v>315</v>
      </c>
      <c r="D54" s="55" t="s">
        <v>325</v>
      </c>
      <c r="E54" s="55" t="s">
        <v>317</v>
      </c>
      <c r="F54" s="55" t="s">
        <v>332</v>
      </c>
      <c r="G54" s="55">
        <f t="shared" si="0"/>
        <v>5</v>
      </c>
      <c r="H54" s="55">
        <f t="shared" si="1"/>
        <v>5</v>
      </c>
      <c r="I54" s="55">
        <f t="shared" si="2"/>
        <v>5</v>
      </c>
      <c r="J54" s="55" t="str">
        <f t="shared" si="3"/>
        <v>Unknown - N/A</v>
      </c>
      <c r="K54" s="60">
        <f t="shared" si="4"/>
        <v>5</v>
      </c>
      <c r="L54" s="60">
        <f t="shared" si="5"/>
        <v>5</v>
      </c>
      <c r="N54" s="55">
        <v>11.2</v>
      </c>
      <c r="O54" s="55" t="s">
        <v>315</v>
      </c>
      <c r="P54" s="55" t="s">
        <v>325</v>
      </c>
      <c r="Q54" s="55" t="s">
        <v>317</v>
      </c>
      <c r="R54" s="55" t="s">
        <v>332</v>
      </c>
      <c r="S54" s="55">
        <f t="shared" si="6"/>
        <v>5</v>
      </c>
      <c r="T54" s="55">
        <f t="shared" si="7"/>
        <v>5</v>
      </c>
      <c r="U54" s="55">
        <f t="shared" si="8"/>
        <v>5</v>
      </c>
      <c r="V54" s="55" t="str">
        <f t="shared" si="9"/>
        <v>Unknown - N/A</v>
      </c>
      <c r="W54" s="55">
        <f t="shared" si="10"/>
        <v>5</v>
      </c>
      <c r="X54" s="60">
        <f t="shared" si="11"/>
        <v>5</v>
      </c>
    </row>
    <row r="55" spans="2:24" ht="25.5" x14ac:dyDescent="0.2">
      <c r="B55" s="56">
        <v>19.5</v>
      </c>
      <c r="C55" s="56" t="s">
        <v>339</v>
      </c>
      <c r="D55" s="56" t="s">
        <v>339</v>
      </c>
      <c r="E55" s="56" t="s">
        <v>339</v>
      </c>
      <c r="F55" s="56" t="s">
        <v>339</v>
      </c>
      <c r="G55" s="56" t="str">
        <f t="shared" si="0"/>
        <v>Unknown - Unscored</v>
      </c>
      <c r="H55" s="56" t="str">
        <f t="shared" si="1"/>
        <v>Unknown - Unscored</v>
      </c>
      <c r="I55" s="56" t="str">
        <f t="shared" si="2"/>
        <v>Unknown - Unscored</v>
      </c>
      <c r="J55" s="56" t="str">
        <f t="shared" si="3"/>
        <v>Unknown - Unscored</v>
      </c>
      <c r="K55" s="61" t="e">
        <f t="shared" si="4"/>
        <v>#DIV/0!</v>
      </c>
      <c r="L55" s="61" t="e">
        <f t="shared" si="5"/>
        <v>#DIV/0!</v>
      </c>
      <c r="N55" s="56">
        <v>11.3</v>
      </c>
      <c r="O55" s="56" t="s">
        <v>339</v>
      </c>
      <c r="P55" s="56" t="s">
        <v>339</v>
      </c>
      <c r="Q55" s="56" t="s">
        <v>339</v>
      </c>
      <c r="R55" s="56" t="s">
        <v>339</v>
      </c>
      <c r="S55" s="56" t="str">
        <f t="shared" si="6"/>
        <v>Unknown - Unscored</v>
      </c>
      <c r="T55" s="56" t="str">
        <f t="shared" si="7"/>
        <v>Unknown - Unscored</v>
      </c>
      <c r="U55" s="56" t="str">
        <f t="shared" si="8"/>
        <v>Unknown - Unscored</v>
      </c>
      <c r="V55" s="56" t="str">
        <f t="shared" si="9"/>
        <v>Unknown - Unscored</v>
      </c>
      <c r="W55" s="56" t="e">
        <f t="shared" si="10"/>
        <v>#DIV/0!</v>
      </c>
      <c r="X55" s="61" t="e">
        <f t="shared" si="11"/>
        <v>#DIV/0!</v>
      </c>
    </row>
    <row r="56" spans="2:24" ht="26.25" thickBot="1" x14ac:dyDescent="0.25">
      <c r="B56" s="57">
        <v>19.600000000000001</v>
      </c>
      <c r="C56" s="57" t="s">
        <v>339</v>
      </c>
      <c r="D56" s="57" t="s">
        <v>339</v>
      </c>
      <c r="E56" s="57" t="s">
        <v>339</v>
      </c>
      <c r="F56" s="57" t="s">
        <v>339</v>
      </c>
      <c r="G56" s="57" t="str">
        <f t="shared" si="0"/>
        <v>Unknown - Unscored</v>
      </c>
      <c r="H56" s="57" t="str">
        <f t="shared" si="1"/>
        <v>Unknown - Unscored</v>
      </c>
      <c r="I56" s="57" t="str">
        <f t="shared" si="2"/>
        <v>Unknown - Unscored</v>
      </c>
      <c r="J56" s="57" t="str">
        <f t="shared" si="3"/>
        <v>Unknown - Unscored</v>
      </c>
      <c r="K56" s="62" t="e">
        <f t="shared" si="4"/>
        <v>#DIV/0!</v>
      </c>
      <c r="L56" s="62" t="e">
        <f t="shared" si="5"/>
        <v>#DIV/0!</v>
      </c>
      <c r="N56" s="55">
        <v>11.4</v>
      </c>
      <c r="O56" s="55" t="s">
        <v>339</v>
      </c>
      <c r="P56" s="55" t="s">
        <v>339</v>
      </c>
      <c r="Q56" s="55" t="s">
        <v>339</v>
      </c>
      <c r="R56" s="55" t="s">
        <v>339</v>
      </c>
      <c r="S56" s="55" t="str">
        <f t="shared" si="6"/>
        <v>Unknown - Unscored</v>
      </c>
      <c r="T56" s="55" t="str">
        <f t="shared" si="7"/>
        <v>Unknown - Unscored</v>
      </c>
      <c r="U56" s="55" t="str">
        <f t="shared" si="8"/>
        <v>Unknown - Unscored</v>
      </c>
      <c r="V56" s="55" t="str">
        <f t="shared" si="9"/>
        <v>Unknown - Unscored</v>
      </c>
      <c r="W56" s="55" t="e">
        <f t="shared" si="10"/>
        <v>#DIV/0!</v>
      </c>
      <c r="X56" s="60" t="e">
        <f t="shared" si="11"/>
        <v>#DIV/0!</v>
      </c>
    </row>
    <row r="57" spans="2:24" x14ac:dyDescent="0.2">
      <c r="N57" s="56">
        <v>12.1</v>
      </c>
      <c r="O57" s="56" t="s">
        <v>333</v>
      </c>
      <c r="P57" s="56" t="s">
        <v>334</v>
      </c>
      <c r="Q57" s="56" t="s">
        <v>331</v>
      </c>
      <c r="R57" s="56" t="s">
        <v>335</v>
      </c>
      <c r="S57" s="56">
        <f t="shared" si="6"/>
        <v>1</v>
      </c>
      <c r="T57" s="56">
        <f t="shared" si="7"/>
        <v>1</v>
      </c>
      <c r="U57" s="56">
        <f t="shared" si="8"/>
        <v>2</v>
      </c>
      <c r="V57" s="56">
        <f t="shared" si="9"/>
        <v>1</v>
      </c>
      <c r="W57" s="56">
        <f t="shared" si="10"/>
        <v>1</v>
      </c>
      <c r="X57" s="61">
        <f t="shared" si="11"/>
        <v>1</v>
      </c>
    </row>
    <row r="58" spans="2:24" x14ac:dyDescent="0.2">
      <c r="N58" s="55">
        <v>14.1</v>
      </c>
      <c r="O58" s="55" t="s">
        <v>333</v>
      </c>
      <c r="P58" s="55" t="s">
        <v>334</v>
      </c>
      <c r="Q58" s="55" t="s">
        <v>337</v>
      </c>
      <c r="R58" s="55" t="s">
        <v>335</v>
      </c>
      <c r="S58" s="55">
        <f t="shared" si="6"/>
        <v>1</v>
      </c>
      <c r="T58" s="55">
        <f t="shared" si="7"/>
        <v>1</v>
      </c>
      <c r="U58" s="55">
        <f t="shared" si="8"/>
        <v>1</v>
      </c>
      <c r="V58" s="55">
        <f t="shared" si="9"/>
        <v>1</v>
      </c>
      <c r="W58" s="55">
        <f t="shared" si="10"/>
        <v>1</v>
      </c>
      <c r="X58" s="60">
        <f t="shared" si="11"/>
        <v>1</v>
      </c>
    </row>
    <row r="59" spans="2:24" x14ac:dyDescent="0.2">
      <c r="N59" s="56">
        <v>14.2</v>
      </c>
      <c r="O59" s="56" t="s">
        <v>315</v>
      </c>
      <c r="P59" s="56" t="s">
        <v>316</v>
      </c>
      <c r="Q59" s="56" t="s">
        <v>327</v>
      </c>
      <c r="R59" s="56" t="s">
        <v>323</v>
      </c>
      <c r="S59" s="56">
        <f t="shared" si="6"/>
        <v>5</v>
      </c>
      <c r="T59" s="56">
        <f t="shared" si="7"/>
        <v>4</v>
      </c>
      <c r="U59" s="56">
        <f t="shared" si="8"/>
        <v>4</v>
      </c>
      <c r="V59" s="56">
        <f t="shared" si="9"/>
        <v>4</v>
      </c>
      <c r="W59" s="56">
        <f t="shared" si="10"/>
        <v>4</v>
      </c>
      <c r="X59" s="61">
        <f t="shared" si="11"/>
        <v>4</v>
      </c>
    </row>
    <row r="60" spans="2:24" x14ac:dyDescent="0.2">
      <c r="N60" s="55">
        <v>14.3</v>
      </c>
      <c r="O60" s="55" t="s">
        <v>338</v>
      </c>
      <c r="P60" s="55" t="s">
        <v>316</v>
      </c>
      <c r="Q60" s="55" t="s">
        <v>317</v>
      </c>
      <c r="R60" s="55" t="s">
        <v>318</v>
      </c>
      <c r="S60" s="55">
        <f t="shared" si="6"/>
        <v>4</v>
      </c>
      <c r="T60" s="55">
        <f t="shared" si="7"/>
        <v>4</v>
      </c>
      <c r="U60" s="55">
        <f t="shared" si="8"/>
        <v>5</v>
      </c>
      <c r="V60" s="55">
        <f t="shared" si="9"/>
        <v>3</v>
      </c>
      <c r="W60" s="55">
        <f t="shared" si="10"/>
        <v>4</v>
      </c>
      <c r="X60" s="60">
        <f t="shared" si="11"/>
        <v>4</v>
      </c>
    </row>
    <row r="61" spans="2:24" x14ac:dyDescent="0.2">
      <c r="N61" s="56">
        <v>14.4</v>
      </c>
      <c r="O61" s="56" t="s">
        <v>320</v>
      </c>
      <c r="P61" s="56" t="s">
        <v>316</v>
      </c>
      <c r="Q61" s="56" t="s">
        <v>327</v>
      </c>
      <c r="R61" s="56" t="s">
        <v>326</v>
      </c>
      <c r="S61" s="56">
        <f t="shared" si="6"/>
        <v>3</v>
      </c>
      <c r="T61" s="56">
        <f t="shared" si="7"/>
        <v>4</v>
      </c>
      <c r="U61" s="56">
        <f t="shared" si="8"/>
        <v>4</v>
      </c>
      <c r="V61" s="56">
        <f t="shared" si="9"/>
        <v>5</v>
      </c>
      <c r="W61" s="56">
        <f t="shared" si="10"/>
        <v>4</v>
      </c>
      <c r="X61" s="61">
        <f t="shared" si="11"/>
        <v>4</v>
      </c>
    </row>
    <row r="62" spans="2:24" x14ac:dyDescent="0.2">
      <c r="N62" s="55">
        <v>14.5</v>
      </c>
      <c r="O62" s="55" t="s">
        <v>338</v>
      </c>
      <c r="P62" s="55" t="s">
        <v>325</v>
      </c>
      <c r="Q62" s="55" t="s">
        <v>327</v>
      </c>
      <c r="R62" s="55" t="s">
        <v>326</v>
      </c>
      <c r="S62" s="55">
        <f t="shared" si="6"/>
        <v>4</v>
      </c>
      <c r="T62" s="55">
        <f t="shared" si="7"/>
        <v>5</v>
      </c>
      <c r="U62" s="55">
        <f t="shared" si="8"/>
        <v>4</v>
      </c>
      <c r="V62" s="55">
        <f t="shared" si="9"/>
        <v>5</v>
      </c>
      <c r="W62" s="55">
        <f t="shared" si="10"/>
        <v>5</v>
      </c>
      <c r="X62" s="60">
        <f t="shared" si="11"/>
        <v>5</v>
      </c>
    </row>
    <row r="63" spans="2:24" x14ac:dyDescent="0.2">
      <c r="N63" s="56">
        <v>14.6</v>
      </c>
      <c r="O63" s="56" t="s">
        <v>338</v>
      </c>
      <c r="P63" s="56" t="s">
        <v>325</v>
      </c>
      <c r="Q63" s="56" t="s">
        <v>317</v>
      </c>
      <c r="R63" s="56" t="s">
        <v>326</v>
      </c>
      <c r="S63" s="56">
        <f t="shared" si="6"/>
        <v>4</v>
      </c>
      <c r="T63" s="56">
        <f t="shared" si="7"/>
        <v>5</v>
      </c>
      <c r="U63" s="56">
        <f t="shared" si="8"/>
        <v>5</v>
      </c>
      <c r="V63" s="56">
        <f t="shared" si="9"/>
        <v>5</v>
      </c>
      <c r="W63" s="56">
        <f t="shared" si="10"/>
        <v>5</v>
      </c>
      <c r="X63" s="61">
        <f t="shared" si="11"/>
        <v>5</v>
      </c>
    </row>
    <row r="64" spans="2:24" x14ac:dyDescent="0.2">
      <c r="N64" s="55">
        <v>14.7</v>
      </c>
      <c r="O64" s="55" t="s">
        <v>315</v>
      </c>
      <c r="P64" s="55" t="s">
        <v>316</v>
      </c>
      <c r="Q64" s="55" t="s">
        <v>317</v>
      </c>
      <c r="R64" s="55" t="s">
        <v>323</v>
      </c>
      <c r="S64" s="55">
        <f t="shared" si="6"/>
        <v>5</v>
      </c>
      <c r="T64" s="55">
        <f t="shared" si="7"/>
        <v>4</v>
      </c>
      <c r="U64" s="55">
        <f t="shared" si="8"/>
        <v>5</v>
      </c>
      <c r="V64" s="55">
        <f t="shared" si="9"/>
        <v>4</v>
      </c>
      <c r="W64" s="55">
        <f t="shared" si="10"/>
        <v>5</v>
      </c>
      <c r="X64" s="60">
        <f t="shared" si="11"/>
        <v>5</v>
      </c>
    </row>
    <row r="65" spans="14:24" x14ac:dyDescent="0.2">
      <c r="N65" s="56">
        <v>14.8</v>
      </c>
      <c r="O65" s="56" t="s">
        <v>320</v>
      </c>
      <c r="P65" s="56" t="s">
        <v>316</v>
      </c>
      <c r="Q65" s="56" t="s">
        <v>327</v>
      </c>
      <c r="R65" s="56" t="s">
        <v>326</v>
      </c>
      <c r="S65" s="56">
        <f t="shared" si="6"/>
        <v>3</v>
      </c>
      <c r="T65" s="56">
        <f t="shared" si="7"/>
        <v>4</v>
      </c>
      <c r="U65" s="56">
        <f t="shared" si="8"/>
        <v>4</v>
      </c>
      <c r="V65" s="56">
        <f t="shared" si="9"/>
        <v>5</v>
      </c>
      <c r="W65" s="56">
        <f t="shared" si="10"/>
        <v>4</v>
      </c>
      <c r="X65" s="61">
        <f t="shared" si="11"/>
        <v>4</v>
      </c>
    </row>
    <row r="66" spans="14:24" x14ac:dyDescent="0.2">
      <c r="N66" s="55">
        <v>15.1</v>
      </c>
      <c r="O66" s="55" t="s">
        <v>338</v>
      </c>
      <c r="P66" s="55" t="s">
        <v>325</v>
      </c>
      <c r="Q66" s="55" t="s">
        <v>327</v>
      </c>
      <c r="R66" s="55" t="s">
        <v>326</v>
      </c>
      <c r="S66" s="55">
        <f t="shared" si="6"/>
        <v>4</v>
      </c>
      <c r="T66" s="55">
        <f t="shared" si="7"/>
        <v>5</v>
      </c>
      <c r="U66" s="55">
        <f t="shared" si="8"/>
        <v>4</v>
      </c>
      <c r="V66" s="55">
        <f t="shared" si="9"/>
        <v>5</v>
      </c>
      <c r="W66" s="55">
        <f t="shared" si="10"/>
        <v>5</v>
      </c>
      <c r="X66" s="60">
        <f t="shared" si="11"/>
        <v>5</v>
      </c>
    </row>
    <row r="67" spans="14:24" x14ac:dyDescent="0.2">
      <c r="N67" s="56">
        <v>17.100000000000001</v>
      </c>
      <c r="O67" s="56" t="s">
        <v>338</v>
      </c>
      <c r="P67" s="56" t="s">
        <v>325</v>
      </c>
      <c r="Q67" s="56" t="s">
        <v>317</v>
      </c>
      <c r="R67" s="56" t="s">
        <v>326</v>
      </c>
      <c r="S67" s="56">
        <f t="shared" si="6"/>
        <v>4</v>
      </c>
      <c r="T67" s="56">
        <f t="shared" si="7"/>
        <v>5</v>
      </c>
      <c r="U67" s="56">
        <f t="shared" si="8"/>
        <v>5</v>
      </c>
      <c r="V67" s="56">
        <f t="shared" si="9"/>
        <v>5</v>
      </c>
      <c r="W67" s="56">
        <f t="shared" si="10"/>
        <v>5</v>
      </c>
      <c r="X67" s="61">
        <f t="shared" si="11"/>
        <v>5</v>
      </c>
    </row>
    <row r="68" spans="14:24" x14ac:dyDescent="0.2">
      <c r="N68" s="55">
        <v>17.2</v>
      </c>
      <c r="O68" s="55" t="s">
        <v>333</v>
      </c>
      <c r="P68" s="55" t="s">
        <v>334</v>
      </c>
      <c r="Q68" s="55" t="s">
        <v>331</v>
      </c>
      <c r="R68" s="55" t="s">
        <v>335</v>
      </c>
      <c r="S68" s="55">
        <f t="shared" si="6"/>
        <v>1</v>
      </c>
      <c r="T68" s="55">
        <f t="shared" si="7"/>
        <v>1</v>
      </c>
      <c r="U68" s="55">
        <f t="shared" si="8"/>
        <v>2</v>
      </c>
      <c r="V68" s="55">
        <f t="shared" si="9"/>
        <v>1</v>
      </c>
      <c r="W68" s="55">
        <f t="shared" si="10"/>
        <v>1</v>
      </c>
      <c r="X68" s="60">
        <f t="shared" si="11"/>
        <v>1</v>
      </c>
    </row>
    <row r="69" spans="14:24" ht="13.5" thickBot="1" x14ac:dyDescent="0.25">
      <c r="N69" s="58">
        <v>17.3</v>
      </c>
      <c r="O69" s="58" t="s">
        <v>333</v>
      </c>
      <c r="P69" s="58" t="s">
        <v>334</v>
      </c>
      <c r="Q69" s="58" t="s">
        <v>337</v>
      </c>
      <c r="R69" s="58" t="s">
        <v>335</v>
      </c>
      <c r="S69" s="58">
        <f t="shared" si="6"/>
        <v>1</v>
      </c>
      <c r="T69" s="58">
        <f t="shared" si="7"/>
        <v>1</v>
      </c>
      <c r="U69" s="58">
        <f t="shared" si="8"/>
        <v>1</v>
      </c>
      <c r="V69" s="58">
        <f t="shared" si="9"/>
        <v>1</v>
      </c>
      <c r="W69" s="58">
        <f t="shared" si="10"/>
        <v>1</v>
      </c>
      <c r="X69" s="63">
        <f t="shared" si="11"/>
        <v>1</v>
      </c>
    </row>
  </sheetData>
  <sheetProtection sheet="1" objects="1" scenarios="1"/>
  <mergeCells count="10">
    <mergeCell ref="X12:X13"/>
    <mergeCell ref="B1:W1"/>
    <mergeCell ref="C12:F12"/>
    <mergeCell ref="G12:J12"/>
    <mergeCell ref="K12:K13"/>
    <mergeCell ref="L12:L13"/>
    <mergeCell ref="O12:R12"/>
    <mergeCell ref="S12:V12"/>
    <mergeCell ref="W12:W13"/>
    <mergeCell ref="I3:O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2B0B-9237-4FB3-941A-25C3524E10B6}">
  <sheetPr codeName="Sheet2">
    <tabColor rgb="FF003B5C"/>
  </sheetPr>
  <dimension ref="A1:L2"/>
  <sheetViews>
    <sheetView showGridLines="0" workbookViewId="0">
      <selection sqref="A1:L1"/>
    </sheetView>
  </sheetViews>
  <sheetFormatPr defaultRowHeight="15" x14ac:dyDescent="0.25"/>
  <sheetData>
    <row r="1" spans="1:12" ht="30.75" x14ac:dyDescent="0.25">
      <c r="A1" s="249" t="s">
        <v>456</v>
      </c>
      <c r="B1" s="250"/>
      <c r="C1" s="250"/>
      <c r="D1" s="250"/>
      <c r="E1" s="250"/>
      <c r="F1" s="250"/>
      <c r="G1" s="250"/>
      <c r="H1" s="250"/>
      <c r="I1" s="250"/>
      <c r="J1" s="250"/>
      <c r="K1" s="250"/>
      <c r="L1" s="251"/>
    </row>
    <row r="2" spans="1:12" ht="236.25" customHeight="1" x14ac:dyDescent="0.25">
      <c r="A2" s="252" t="s">
        <v>455</v>
      </c>
      <c r="B2" s="252"/>
      <c r="C2" s="252"/>
      <c r="D2" s="252"/>
      <c r="E2" s="252"/>
      <c r="F2" s="252"/>
      <c r="G2" s="252"/>
      <c r="H2" s="252"/>
      <c r="I2" s="252"/>
      <c r="J2" s="252"/>
      <c r="K2" s="252"/>
      <c r="L2" s="252"/>
    </row>
  </sheetData>
  <sheetProtection sheet="1" objects="1" scenarios="1"/>
  <mergeCells count="2">
    <mergeCell ref="A1:L1"/>
    <mergeCell ref="A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3841-B28F-4A17-ABA1-7BE8A7AD23A8}">
  <sheetPr codeName="Sheet12">
    <tabColor rgb="FF003B5C"/>
  </sheetPr>
  <dimension ref="B1:C21"/>
  <sheetViews>
    <sheetView showGridLines="0" zoomScale="150" zoomScaleNormal="150" workbookViewId="0"/>
  </sheetViews>
  <sheetFormatPr defaultColWidth="12.42578125" defaultRowHeight="11.25" x14ac:dyDescent="0.25"/>
  <cols>
    <col min="1" max="1" width="7.85546875" style="239" customWidth="1"/>
    <col min="2" max="2" width="30.140625" style="239" customWidth="1"/>
    <col min="3" max="3" width="86.85546875" style="239" bestFit="1" customWidth="1"/>
    <col min="4" max="16384" width="12.42578125" style="239"/>
  </cols>
  <sheetData>
    <row r="1" spans="2:3" ht="39.950000000000003" customHeight="1" x14ac:dyDescent="0.25"/>
    <row r="2" spans="2:3" ht="110.1" customHeight="1" x14ac:dyDescent="0.25">
      <c r="B2" s="240"/>
      <c r="C2" s="241" t="s">
        <v>458</v>
      </c>
    </row>
    <row r="3" spans="2:3" x14ac:dyDescent="0.25">
      <c r="C3" s="242" t="s">
        <v>345</v>
      </c>
    </row>
    <row r="4" spans="2:3" ht="20.100000000000001" customHeight="1" x14ac:dyDescent="0.25"/>
    <row r="5" spans="2:3" ht="30" customHeight="1" x14ac:dyDescent="0.25">
      <c r="B5" s="240"/>
      <c r="C5" s="241" t="s">
        <v>459</v>
      </c>
    </row>
    <row r="6" spans="2:3" x14ac:dyDescent="0.25">
      <c r="C6" s="243" t="s">
        <v>460</v>
      </c>
    </row>
    <row r="7" spans="2:3" ht="39.950000000000003" customHeight="1" x14ac:dyDescent="0.25"/>
    <row r="8" spans="2:3" ht="20.100000000000001" customHeight="1" x14ac:dyDescent="0.25">
      <c r="B8" s="240"/>
      <c r="C8" s="244" t="s">
        <v>386</v>
      </c>
    </row>
    <row r="9" spans="2:3" x14ac:dyDescent="0.25">
      <c r="C9" s="245" t="s">
        <v>346</v>
      </c>
    </row>
    <row r="10" spans="2:3" ht="39.950000000000003" customHeight="1" x14ac:dyDescent="0.25"/>
    <row r="11" spans="2:3" ht="20.100000000000001" customHeight="1" x14ac:dyDescent="0.25">
      <c r="B11" s="240"/>
      <c r="C11" s="246" t="s">
        <v>412</v>
      </c>
    </row>
    <row r="12" spans="2:3" ht="5.0999999999999996" customHeight="1" x14ac:dyDescent="0.25">
      <c r="C12" s="247"/>
    </row>
    <row r="13" spans="2:3" ht="33.75" x14ac:dyDescent="0.25">
      <c r="C13" s="239" t="s">
        <v>461</v>
      </c>
    </row>
    <row r="14" spans="2:3" ht="9.9499999999999993" customHeight="1" x14ac:dyDescent="0.25"/>
    <row r="15" spans="2:3" x14ac:dyDescent="0.25">
      <c r="C15" s="248" t="s">
        <v>413</v>
      </c>
    </row>
    <row r="16" spans="2:3" ht="5.0999999999999996" customHeight="1" x14ac:dyDescent="0.25"/>
    <row r="17" spans="3:3" ht="22.5" x14ac:dyDescent="0.25">
      <c r="C17" s="239" t="s">
        <v>462</v>
      </c>
    </row>
    <row r="18" spans="3:3" x14ac:dyDescent="0.25">
      <c r="C18" s="242" t="s">
        <v>414</v>
      </c>
    </row>
    <row r="19" spans="3:3" ht="9.9499999999999993" customHeight="1" x14ac:dyDescent="0.25">
      <c r="C19" s="242"/>
    </row>
    <row r="20" spans="3:3" ht="92.1" customHeight="1" x14ac:dyDescent="0.25">
      <c r="C20" s="239" t="s">
        <v>463</v>
      </c>
    </row>
    <row r="21" spans="3:3" x14ac:dyDescent="0.25">
      <c r="C21" s="242" t="s">
        <v>415</v>
      </c>
    </row>
  </sheetData>
  <sheetProtection sheet="1" objects="1" scenarios="1"/>
  <hyperlinks>
    <hyperlink ref="C6" r:id="rId1" xr:uid="{D4EA06FF-50DB-4005-9D9D-B9349AAECC31}"/>
    <hyperlink ref="C9" r:id="rId2" xr:uid="{5EE5A98B-9714-491E-88BF-86E0D795182A}"/>
    <hyperlink ref="C18" r:id="rId3" xr:uid="{A32922CA-1538-454D-9A66-1FB9A4FC22DF}"/>
    <hyperlink ref="C21" r:id="rId4" xr:uid="{C1C801C5-A3C3-4C35-89AF-91F5B12FDFC6}"/>
    <hyperlink ref="C3" r:id="rId5" xr:uid="{2F93A968-5356-4DB1-AAF5-0A27F09BFE5C}"/>
  </hyperlinks>
  <pageMargins left="0.7" right="0.7" top="0.75" bottom="0.75" header="0.3" footer="0.3"/>
  <pageSetup orientation="portrait" horizontalDpi="0" verticalDpi="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08B4A-980B-4DCB-9598-9D7CEE2DB524}">
  <sheetPr codeName="Sheet3">
    <tabColor rgb="FF0070C0"/>
  </sheetPr>
  <dimension ref="B2:AF76"/>
  <sheetViews>
    <sheetView showGridLines="0" zoomScaleNormal="100" workbookViewId="0">
      <selection activeCell="B2" sqref="B2:B4"/>
    </sheetView>
  </sheetViews>
  <sheetFormatPr defaultColWidth="9.140625" defaultRowHeight="12.75" x14ac:dyDescent="0.2"/>
  <cols>
    <col min="1" max="1" width="9.140625" style="2"/>
    <col min="2" max="2" width="21.5703125" style="2" bestFit="1" customWidth="1"/>
    <col min="3" max="3" width="20.7109375" style="17" customWidth="1"/>
    <col min="4" max="6" width="20.7109375" style="2" customWidth="1"/>
    <col min="7" max="12" width="12" style="2" customWidth="1"/>
    <col min="13" max="13" width="12.140625" style="2" customWidth="1"/>
    <col min="14" max="14" width="20.5703125" style="2" customWidth="1"/>
    <col min="15" max="15" width="26.42578125" style="2" customWidth="1"/>
    <col min="16" max="16" width="55.28515625" style="2" customWidth="1"/>
    <col min="17" max="18" width="22.42578125" style="2" customWidth="1"/>
    <col min="19" max="19" width="18.140625" style="2" customWidth="1"/>
    <col min="20" max="20" width="20.42578125" style="2" customWidth="1"/>
    <col min="21" max="26" width="15.5703125" style="2" customWidth="1"/>
    <col min="27" max="27" width="16.5703125" style="2" customWidth="1"/>
    <col min="28" max="28" width="12.85546875" style="2" customWidth="1"/>
    <col min="29" max="29" width="20.140625" style="2" customWidth="1"/>
    <col min="30" max="30" width="9.140625" style="2"/>
    <col min="31" max="31" width="14.140625" style="2" bestFit="1" customWidth="1"/>
    <col min="32" max="16384" width="9.140625" style="2"/>
  </cols>
  <sheetData>
    <row r="2" spans="2:14" x14ac:dyDescent="0.2">
      <c r="B2" s="266" t="s">
        <v>426</v>
      </c>
      <c r="C2" s="1" t="s">
        <v>152</v>
      </c>
      <c r="D2" s="269"/>
      <c r="E2" s="269"/>
    </row>
    <row r="3" spans="2:14" x14ac:dyDescent="0.2">
      <c r="B3" s="267"/>
      <c r="C3" s="1" t="s">
        <v>53</v>
      </c>
      <c r="D3" s="269"/>
      <c r="E3" s="269"/>
    </row>
    <row r="4" spans="2:14" x14ac:dyDescent="0.2">
      <c r="B4" s="268"/>
      <c r="C4" s="1" t="s">
        <v>54</v>
      </c>
      <c r="D4" s="270"/>
      <c r="E4" s="269"/>
    </row>
    <row r="6" spans="2:14" x14ac:dyDescent="0.2">
      <c r="B6" s="3"/>
      <c r="C6" s="4"/>
      <c r="D6" s="4"/>
      <c r="E6" s="4"/>
      <c r="F6" s="4"/>
      <c r="G6" s="4"/>
      <c r="H6" s="4"/>
      <c r="I6" s="4"/>
      <c r="J6" s="4"/>
      <c r="K6" s="4"/>
      <c r="L6" s="4"/>
      <c r="M6" s="4"/>
      <c r="N6" s="4"/>
    </row>
    <row r="8" spans="2:14" x14ac:dyDescent="0.2">
      <c r="B8" s="5" t="s">
        <v>48</v>
      </c>
      <c r="C8" s="271"/>
      <c r="D8" s="271"/>
      <c r="E8" s="271"/>
      <c r="F8" s="271"/>
      <c r="H8" s="260"/>
      <c r="I8" s="260"/>
    </row>
    <row r="9" spans="2:14" x14ac:dyDescent="0.2">
      <c r="C9" s="2"/>
      <c r="H9" s="260"/>
      <c r="I9" s="260"/>
    </row>
    <row r="10" spans="2:14" ht="25.5" x14ac:dyDescent="0.2">
      <c r="B10" s="6" t="s">
        <v>5</v>
      </c>
      <c r="C10" s="7" t="s">
        <v>6</v>
      </c>
      <c r="D10" s="7" t="s">
        <v>153</v>
      </c>
      <c r="E10" s="47" t="s">
        <v>154</v>
      </c>
      <c r="F10" s="7" t="s">
        <v>52</v>
      </c>
      <c r="H10" s="260"/>
      <c r="I10" s="260"/>
    </row>
    <row r="11" spans="2:14" ht="38.25" x14ac:dyDescent="0.2">
      <c r="B11" s="8" t="s">
        <v>4</v>
      </c>
      <c r="C11" s="38"/>
      <c r="D11" s="38"/>
      <c r="E11" s="39" t="s">
        <v>67</v>
      </c>
      <c r="F11" s="38"/>
      <c r="H11" s="260"/>
      <c r="I11" s="260"/>
    </row>
    <row r="12" spans="2:14" ht="25.5" x14ac:dyDescent="0.2">
      <c r="B12" s="9" t="s">
        <v>61</v>
      </c>
      <c r="C12" s="10" t="s">
        <v>56</v>
      </c>
      <c r="D12" s="10" t="s">
        <v>58</v>
      </c>
      <c r="E12" s="11"/>
      <c r="F12" s="10" t="s">
        <v>64</v>
      </c>
      <c r="H12" s="260"/>
      <c r="I12" s="260"/>
    </row>
    <row r="13" spans="2:14" ht="51" x14ac:dyDescent="0.2">
      <c r="B13" s="9" t="s">
        <v>62</v>
      </c>
      <c r="C13" s="10" t="s">
        <v>57</v>
      </c>
      <c r="D13" s="10" t="s">
        <v>59</v>
      </c>
      <c r="E13" s="11"/>
      <c r="F13" s="10" t="s">
        <v>65</v>
      </c>
      <c r="H13" s="260"/>
      <c r="I13" s="260"/>
    </row>
    <row r="14" spans="2:14" ht="38.25" x14ac:dyDescent="0.2">
      <c r="B14" s="9" t="s">
        <v>63</v>
      </c>
      <c r="C14" s="10" t="s">
        <v>55</v>
      </c>
      <c r="D14" s="10" t="s">
        <v>60</v>
      </c>
      <c r="E14" s="12"/>
      <c r="F14" s="10" t="s">
        <v>66</v>
      </c>
      <c r="H14" s="260"/>
      <c r="I14" s="260"/>
    </row>
    <row r="16" spans="2:14" x14ac:dyDescent="0.2">
      <c r="B16" s="3"/>
      <c r="C16" s="4"/>
      <c r="D16" s="4"/>
      <c r="E16" s="4"/>
      <c r="F16" s="4"/>
      <c r="G16" s="4"/>
      <c r="H16" s="4"/>
      <c r="I16" s="4"/>
      <c r="J16" s="4"/>
      <c r="K16" s="4"/>
      <c r="L16" s="4"/>
      <c r="M16" s="4"/>
      <c r="N16" s="4"/>
    </row>
    <row r="18" spans="2:32" ht="89.25" customHeight="1" x14ac:dyDescent="0.2">
      <c r="B18" s="5" t="s">
        <v>69</v>
      </c>
      <c r="C18" s="263" t="s">
        <v>389</v>
      </c>
      <c r="D18" s="264"/>
      <c r="E18" s="265"/>
      <c r="H18" s="261"/>
    </row>
    <row r="19" spans="2:32" x14ac:dyDescent="0.2">
      <c r="B19" s="13"/>
      <c r="C19" s="14"/>
      <c r="D19" s="14"/>
      <c r="E19" s="14"/>
      <c r="H19" s="261"/>
    </row>
    <row r="20" spans="2:32" ht="25.5" x14ac:dyDescent="0.2">
      <c r="B20" s="6" t="s">
        <v>51</v>
      </c>
      <c r="C20" s="7" t="s">
        <v>46</v>
      </c>
      <c r="D20" s="7" t="s">
        <v>155</v>
      </c>
      <c r="E20" s="7" t="s">
        <v>47</v>
      </c>
      <c r="F20" s="262"/>
      <c r="G20" s="262"/>
      <c r="H20" s="261"/>
    </row>
    <row r="21" spans="2:32" x14ac:dyDescent="0.2">
      <c r="B21" s="9" t="s">
        <v>151</v>
      </c>
      <c r="C21" s="40"/>
      <c r="D21" s="40"/>
      <c r="E21" s="40"/>
      <c r="F21" s="262"/>
      <c r="G21" s="262"/>
      <c r="H21" s="261"/>
    </row>
    <row r="22" spans="2:32" x14ac:dyDescent="0.2">
      <c r="B22" s="16" t="s">
        <v>147</v>
      </c>
      <c r="C22" s="15"/>
      <c r="D22" s="15"/>
      <c r="E22" s="15"/>
      <c r="F22" s="262"/>
      <c r="G22" s="262"/>
      <c r="H22" s="261"/>
    </row>
    <row r="23" spans="2:32" x14ac:dyDescent="0.2">
      <c r="B23" s="16" t="s">
        <v>148</v>
      </c>
      <c r="C23" s="15"/>
      <c r="D23" s="15"/>
      <c r="E23" s="15"/>
      <c r="F23" s="262"/>
      <c r="G23" s="262"/>
      <c r="H23" s="261"/>
    </row>
    <row r="24" spans="2:32" x14ac:dyDescent="0.2">
      <c r="B24" s="16" t="s">
        <v>146</v>
      </c>
      <c r="C24" s="15"/>
      <c r="D24" s="15"/>
      <c r="E24" s="15"/>
      <c r="F24" s="262"/>
      <c r="G24" s="262"/>
      <c r="H24" s="261"/>
    </row>
    <row r="25" spans="2:32" x14ac:dyDescent="0.2">
      <c r="B25" s="16" t="s">
        <v>149</v>
      </c>
      <c r="C25" s="15"/>
      <c r="D25" s="15"/>
      <c r="E25" s="15"/>
      <c r="F25" s="262"/>
      <c r="G25" s="262"/>
      <c r="H25" s="261"/>
    </row>
    <row r="26" spans="2:32" x14ac:dyDescent="0.2">
      <c r="B26" s="16" t="s">
        <v>150</v>
      </c>
      <c r="C26" s="15"/>
      <c r="D26" s="15"/>
      <c r="E26" s="15"/>
      <c r="F26" s="262"/>
      <c r="G26" s="262"/>
      <c r="H26" s="261"/>
    </row>
    <row r="29" spans="2:32" x14ac:dyDescent="0.2">
      <c r="B29" s="3"/>
      <c r="C29" s="4"/>
      <c r="D29" s="4"/>
      <c r="E29" s="4"/>
      <c r="F29" s="4"/>
      <c r="G29" s="4"/>
      <c r="H29" s="4"/>
      <c r="I29" s="4"/>
      <c r="J29" s="4"/>
      <c r="K29" s="4"/>
      <c r="L29" s="4"/>
      <c r="M29" s="4"/>
      <c r="N29" s="4"/>
      <c r="O29" s="4"/>
      <c r="P29" s="4"/>
      <c r="Q29" s="4"/>
      <c r="R29" s="4"/>
      <c r="S29" s="4"/>
      <c r="T29" s="4"/>
      <c r="U29" s="4"/>
      <c r="V29" s="4"/>
      <c r="W29" s="4"/>
      <c r="X29" s="4"/>
      <c r="Y29" s="4"/>
      <c r="Z29" s="4"/>
      <c r="AA29" s="4"/>
      <c r="AB29" s="4"/>
    </row>
    <row r="31" spans="2:32" ht="25.5" customHeight="1" x14ac:dyDescent="0.2">
      <c r="B31" s="34" t="s">
        <v>68</v>
      </c>
      <c r="C31" s="257" t="s">
        <v>267</v>
      </c>
      <c r="D31" s="258"/>
      <c r="E31" s="258"/>
      <c r="F31" s="258"/>
      <c r="G31" s="258"/>
      <c r="H31" s="258"/>
      <c r="I31" s="258"/>
      <c r="J31" s="258"/>
      <c r="K31" s="258"/>
      <c r="L31" s="259"/>
      <c r="M31" s="34" t="s">
        <v>68</v>
      </c>
      <c r="N31" s="256" t="s">
        <v>265</v>
      </c>
      <c r="O31" s="256"/>
      <c r="P31" s="256"/>
      <c r="Q31" s="256"/>
      <c r="R31" s="256"/>
      <c r="S31" s="256"/>
      <c r="T31" s="256"/>
      <c r="U31" s="256"/>
      <c r="V31" s="256"/>
      <c r="W31" s="256"/>
      <c r="X31" s="256"/>
      <c r="Y31" s="256"/>
      <c r="Z31" s="256"/>
      <c r="AA31" s="256"/>
      <c r="AB31" s="256"/>
      <c r="AD31" s="253" t="s">
        <v>427</v>
      </c>
      <c r="AE31" s="254"/>
      <c r="AF31" s="255"/>
    </row>
    <row r="33" spans="2:32" s="20" customFormat="1" ht="76.5" x14ac:dyDescent="0.2">
      <c r="B33" s="18" t="s">
        <v>168</v>
      </c>
      <c r="C33" s="18" t="s">
        <v>169</v>
      </c>
      <c r="D33" s="18" t="s">
        <v>448</v>
      </c>
      <c r="E33" s="18" t="s">
        <v>51</v>
      </c>
      <c r="F33" s="43" t="s">
        <v>286</v>
      </c>
      <c r="G33" s="18" t="s">
        <v>49</v>
      </c>
      <c r="H33" s="18" t="s">
        <v>424</v>
      </c>
      <c r="I33" s="18" t="s">
        <v>0</v>
      </c>
      <c r="J33" s="18" t="s">
        <v>156</v>
      </c>
      <c r="K33" s="18" t="s">
        <v>1</v>
      </c>
      <c r="L33" s="18" t="s">
        <v>2</v>
      </c>
      <c r="M33" s="18" t="s">
        <v>3</v>
      </c>
      <c r="N33" s="7" t="s">
        <v>293</v>
      </c>
      <c r="O33" s="52" t="s">
        <v>70</v>
      </c>
      <c r="P33" s="52" t="s">
        <v>74</v>
      </c>
      <c r="Q33" s="52" t="s">
        <v>75</v>
      </c>
      <c r="R33" s="47" t="s">
        <v>171</v>
      </c>
      <c r="S33" s="7" t="s">
        <v>287</v>
      </c>
      <c r="T33" s="19" t="s">
        <v>425</v>
      </c>
      <c r="U33" s="19" t="s">
        <v>76</v>
      </c>
      <c r="V33" s="19" t="s">
        <v>157</v>
      </c>
      <c r="W33" s="19" t="s">
        <v>77</v>
      </c>
      <c r="X33" s="19" t="s">
        <v>79</v>
      </c>
      <c r="Y33" s="19" t="s">
        <v>266</v>
      </c>
      <c r="Z33" s="47" t="s">
        <v>78</v>
      </c>
      <c r="AA33" s="47" t="s">
        <v>163</v>
      </c>
      <c r="AB33" s="47" t="s">
        <v>71</v>
      </c>
      <c r="AD33" s="21" t="s">
        <v>158</v>
      </c>
      <c r="AE33" s="21" t="s">
        <v>72</v>
      </c>
      <c r="AF33" s="21" t="s">
        <v>73</v>
      </c>
    </row>
    <row r="34" spans="2:32" ht="127.5" x14ac:dyDescent="0.2">
      <c r="B34" s="22">
        <v>1.4</v>
      </c>
      <c r="C34" s="23" t="s">
        <v>15</v>
      </c>
      <c r="D34" s="233" t="s">
        <v>449</v>
      </c>
      <c r="E34" s="172" t="s">
        <v>147</v>
      </c>
      <c r="F34" s="25"/>
      <c r="G34" s="45">
        <f>IFERROR(VLOOKUP(tblRiskRegister[[#This Row],[Asset Class]],tblVCDBIndex[],4,FALSE),"")</f>
        <v>1</v>
      </c>
      <c r="H34" s="45" t="str">
        <f>IFERROR(VLOOKUP(10*tblRiskRegister[[#This Row],[Safeguard Maturity Score]]+tblRiskRegister[[#This Row],[VCDB Index]],tblHITIndexWeightTable[],4,FALSE),"")</f>
        <v/>
      </c>
      <c r="I34" s="45">
        <f>VLOOKUP(tblRiskRegister[[#This Row],[Asset Class]],tblImpactIndex[],2,FALSE)</f>
        <v>0</v>
      </c>
      <c r="J34" s="45">
        <f>VLOOKUP(tblRiskRegister[[#This Row],[Asset Class]],tblImpactIndex[],3,FALSE)</f>
        <v>0</v>
      </c>
      <c r="K34" s="45">
        <f>VLOOKUP(tblRiskRegister[[#This Row],[Asset Class]],tblImpactIndex[],4,FALSE)</f>
        <v>0</v>
      </c>
      <c r="L34" s="45" t="str">
        <f>IFERROR(MAX(tblRiskRegister[[#This Row],[Impact to Mission]:[Impact to Obligations]])*tblRiskRegister[[#This Row],[Expectancy Score]],"")</f>
        <v/>
      </c>
      <c r="M34" s="45" t="str">
        <f>tblRiskRegister[[#This Row],[Risk Score]]</f>
        <v/>
      </c>
      <c r="N34" s="203"/>
      <c r="O34" s="37">
        <v>1.4</v>
      </c>
      <c r="P34" s="24" t="s">
        <v>15</v>
      </c>
      <c r="Q34" s="24" t="s">
        <v>172</v>
      </c>
      <c r="R34" s="24"/>
      <c r="S34" s="25"/>
      <c r="T34" s="44" t="str">
        <f>IFERROR(VLOOKUP(10*tblRiskRegister[[#This Row],[Risk Treatment Safeguard Maturity Score]]+tblRiskRegister[[#This Row],[VCDB Index]],tblHITIndexWeightTable[],4,FALSE),"")</f>
        <v/>
      </c>
      <c r="U34" s="44">
        <f>VLOOKUP(tblRiskRegister[[#This Row],[Asset Class]],tblImpactIndex[],2,FALSE)</f>
        <v>0</v>
      </c>
      <c r="V34" s="44">
        <f>VLOOKUP(tblRiskRegister[[#This Row],[Asset Class]],tblImpactIndex[],3,FALSE)</f>
        <v>0</v>
      </c>
      <c r="W34" s="44">
        <f>VLOOKUP(tblRiskRegister[[#This Row],[Asset Class]],tblImpactIndex[],4,FALSE)</f>
        <v>0</v>
      </c>
      <c r="X34" s="44" t="str">
        <f>IFERROR(MAX(tblRiskRegister[[#This Row],[Risk Treatment Safeguard Impact to Mission]:[Risk Treatment Safeguard Impact to Obligations]])*tblRiskRegister[[#This Row],[Risk Treatment
Safeguard Expectancy Score]],"")</f>
        <v/>
      </c>
      <c r="Y34" s="46" t="str">
        <f>IF(tblRiskRegister[[#This Row],[Risk Score]]&gt;5,IF(tblRiskRegister[[#This Row],[Risk Treatment Safeguard Risk Score]]&lt;6, IF(tblRiskRegister[[#This Row],[Risk Treatment Safeguard Risk Score]]&lt;=tblRiskRegister[[#This Row],[Risk Score]],"Yes","No"),"No"),"Yes")</f>
        <v>No</v>
      </c>
      <c r="Z34" s="26"/>
      <c r="AA34" s="26"/>
      <c r="AB34" s="27"/>
      <c r="AD34" s="28">
        <f>SUMIF(tblRiskRegister[[#All],[Implementation Year]],"="&amp;tblCostImpacts[[#This Row],[Year]],tblRiskRegister[[#All],[Risk Treatment Safeguard Cost]])</f>
        <v>0</v>
      </c>
      <c r="AE34" s="13">
        <v>2021</v>
      </c>
      <c r="AF34" s="13" t="str">
        <f>IF(tblCostImpacts[[#This Row],[Impact to Financial Objectives]]&lt;=$E$12,"Yes","No")</f>
        <v>Yes</v>
      </c>
    </row>
    <row r="35" spans="2:32" ht="76.5" x14ac:dyDescent="0.2">
      <c r="B35" s="22">
        <v>1.6</v>
      </c>
      <c r="C35" s="23" t="s">
        <v>16</v>
      </c>
      <c r="D35" s="233" t="s">
        <v>450</v>
      </c>
      <c r="E35" s="172" t="s">
        <v>147</v>
      </c>
      <c r="F35" s="25"/>
      <c r="G35" s="45">
        <f>IFERROR(VLOOKUP(tblRiskRegister[[#This Row],[Asset Class]],tblVCDBIndex[],4,FALSE),"")</f>
        <v>1</v>
      </c>
      <c r="H35" s="45" t="str">
        <f>IFERROR(VLOOKUP(10*tblRiskRegister[[#This Row],[Safeguard Maturity Score]]+tblRiskRegister[[#This Row],[VCDB Index]],tblHITIndexWeightTable[],4,FALSE),"")</f>
        <v/>
      </c>
      <c r="I35" s="45">
        <f>VLOOKUP(tblRiskRegister[[#This Row],[Asset Class]],tblImpactIndex[],2,FALSE)</f>
        <v>0</v>
      </c>
      <c r="J35" s="45">
        <f>VLOOKUP(tblRiskRegister[[#This Row],[Asset Class]],tblImpactIndex[],3,FALSE)</f>
        <v>0</v>
      </c>
      <c r="K35" s="45">
        <f>VLOOKUP(tblRiskRegister[[#This Row],[Asset Class]],tblImpactIndex[],4,FALSE)</f>
        <v>0</v>
      </c>
      <c r="L35" s="45" t="str">
        <f>IFERROR(MAX(tblRiskRegister[[#This Row],[Impact to Mission]:[Impact to Obligations]])*tblRiskRegister[[#This Row],[Expectancy Score]],"")</f>
        <v/>
      </c>
      <c r="M35" s="45" t="str">
        <f>tblRiskRegister[[#This Row],[Risk Score]]</f>
        <v/>
      </c>
      <c r="N35" s="203"/>
      <c r="O35" s="37">
        <v>1.6</v>
      </c>
      <c r="P35" s="24" t="s">
        <v>16</v>
      </c>
      <c r="Q35" s="24" t="s">
        <v>416</v>
      </c>
      <c r="R35" s="24"/>
      <c r="S35" s="25"/>
      <c r="T35" s="46" t="str">
        <f>IFERROR(VLOOKUP(10*tblRiskRegister[[#This Row],[Risk Treatment Safeguard Maturity Score]]+tblRiskRegister[[#This Row],[VCDB Index]],tblHITIndexWeightTable[],4,FALSE),"")</f>
        <v/>
      </c>
      <c r="U35" s="46">
        <f>VLOOKUP(tblRiskRegister[[#This Row],[Asset Class]],tblImpactIndex[],2,FALSE)</f>
        <v>0</v>
      </c>
      <c r="V35" s="46">
        <f>VLOOKUP(tblRiskRegister[[#This Row],[Asset Class]],tblImpactIndex[],3,FALSE)</f>
        <v>0</v>
      </c>
      <c r="W35" s="46">
        <f>VLOOKUP(tblRiskRegister[[#This Row],[Asset Class]],tblImpactIndex[],4,FALSE)</f>
        <v>0</v>
      </c>
      <c r="X35" s="46" t="str">
        <f>IFERROR(MAX(tblRiskRegister[[#This Row],[Risk Treatment Safeguard Impact to Mission]:[Risk Treatment Safeguard Impact to Obligations]])*tblRiskRegister[[#This Row],[Risk Treatment
Safeguard Expectancy Score]],"")</f>
        <v/>
      </c>
      <c r="Y35" s="46" t="str">
        <f>IF(tblRiskRegister[[#This Row],[Risk Score]]&gt;5,IF(tblRiskRegister[[#This Row],[Risk Treatment Safeguard Risk Score]]&lt;6, IF(tblRiskRegister[[#This Row],[Risk Treatment Safeguard Risk Score]]&lt;=tblRiskRegister[[#This Row],[Risk Score]],"Yes","No"),"No"),"Yes")</f>
        <v>No</v>
      </c>
      <c r="Z35" s="26"/>
      <c r="AA35" s="26"/>
      <c r="AB35" s="27"/>
      <c r="AD35" s="28">
        <f>SUMIF(tblRiskRegister[[#All],[Implementation Year]],"="&amp;tblCostImpacts[[#This Row],[Year]],tblRiskRegister[[#All],[Risk Treatment Safeguard Cost]])</f>
        <v>0</v>
      </c>
      <c r="AE35" s="13">
        <v>2022</v>
      </c>
      <c r="AF35" s="13" t="str">
        <f>IF(tblCostImpacts[[#This Row],[Impact to Financial Objectives]]&lt;=$E$12,"Yes","No")</f>
        <v>Yes</v>
      </c>
    </row>
    <row r="36" spans="2:32" ht="76.5" x14ac:dyDescent="0.2">
      <c r="B36" s="22">
        <v>2.1</v>
      </c>
      <c r="C36" s="23" t="s">
        <v>17</v>
      </c>
      <c r="D36" s="233" t="s">
        <v>449</v>
      </c>
      <c r="E36" s="172" t="s">
        <v>148</v>
      </c>
      <c r="F36" s="25"/>
      <c r="G36" s="45">
        <f>IFERROR(VLOOKUP(tblRiskRegister[[#This Row],[Asset Class]],tblVCDBIndex[],4,FALSE),"")</f>
        <v>2</v>
      </c>
      <c r="H36" s="45" t="str">
        <f>IFERROR(VLOOKUP(10*tblRiskRegister[[#This Row],[Safeguard Maturity Score]]+tblRiskRegister[[#This Row],[VCDB Index]],tblHITIndexWeightTable[],4,FALSE),"")</f>
        <v/>
      </c>
      <c r="I36" s="45">
        <f>VLOOKUP(tblRiskRegister[[#This Row],[Asset Class]],tblImpactIndex[],2,FALSE)</f>
        <v>0</v>
      </c>
      <c r="J36" s="45">
        <f>VLOOKUP(tblRiskRegister[[#This Row],[Asset Class]],tblImpactIndex[],3,FALSE)</f>
        <v>0</v>
      </c>
      <c r="K36" s="45">
        <f>VLOOKUP(tblRiskRegister[[#This Row],[Asset Class]],tblImpactIndex[],4,FALSE)</f>
        <v>0</v>
      </c>
      <c r="L36" s="45" t="str">
        <f>IFERROR(MAX(tblRiskRegister[[#This Row],[Impact to Mission]:[Impact to Obligations]])*tblRiskRegister[[#This Row],[Expectancy Score]],"")</f>
        <v/>
      </c>
      <c r="M36" s="45" t="str">
        <f>tblRiskRegister[[#This Row],[Risk Score]]</f>
        <v/>
      </c>
      <c r="N36" s="203"/>
      <c r="O36" s="37">
        <v>2.1</v>
      </c>
      <c r="P36" s="24" t="s">
        <v>17</v>
      </c>
      <c r="Q36" s="24" t="s">
        <v>173</v>
      </c>
      <c r="R36" s="24"/>
      <c r="S36" s="25"/>
      <c r="T36" s="46" t="str">
        <f>IFERROR(VLOOKUP(10*tblRiskRegister[[#This Row],[Risk Treatment Safeguard Maturity Score]]+tblRiskRegister[[#This Row],[VCDB Index]],tblHITIndexWeightTable[],4,FALSE),"")</f>
        <v/>
      </c>
      <c r="U36" s="46">
        <f>VLOOKUP(tblRiskRegister[[#This Row],[Asset Class]],tblImpactIndex[],2,FALSE)</f>
        <v>0</v>
      </c>
      <c r="V36" s="46">
        <f>VLOOKUP(tblRiskRegister[[#This Row],[Asset Class]],tblImpactIndex[],3,FALSE)</f>
        <v>0</v>
      </c>
      <c r="W36" s="46">
        <f>VLOOKUP(tblRiskRegister[[#This Row],[Asset Class]],tblImpactIndex[],4,FALSE)</f>
        <v>0</v>
      </c>
      <c r="X36" s="46" t="str">
        <f>IFERROR(MAX(tblRiskRegister[[#This Row],[Risk Treatment Safeguard Impact to Mission]:[Risk Treatment Safeguard Impact to Obligations]])*tblRiskRegister[[#This Row],[Risk Treatment
Safeguard Expectancy Score]],"")</f>
        <v/>
      </c>
      <c r="Y36" s="46" t="str">
        <f>IF(tblRiskRegister[[#This Row],[Risk Score]]&gt;5,IF(tblRiskRegister[[#This Row],[Risk Treatment Safeguard Risk Score]]&lt;6, IF(tblRiskRegister[[#This Row],[Risk Treatment Safeguard Risk Score]]&lt;=tblRiskRegister[[#This Row],[Risk Score]],"Yes","No"),"No"),"Yes")</f>
        <v>No</v>
      </c>
      <c r="Z36" s="26"/>
      <c r="AA36" s="26"/>
      <c r="AB36" s="27"/>
      <c r="AD36" s="28">
        <f>SUMIF(tblRiskRegister[[#All],[Implementation Year]],"="&amp;tblCostImpacts[[#This Row],[Year]],tblRiskRegister[[#All],[Risk Treatment Safeguard Cost]])</f>
        <v>0</v>
      </c>
      <c r="AE36" s="13">
        <v>2023</v>
      </c>
      <c r="AF36" s="13" t="str">
        <f>IF(tblCostImpacts[[#This Row],[Impact to Financial Objectives]]&lt;=$E$12,"Yes","No")</f>
        <v>Yes</v>
      </c>
    </row>
    <row r="37" spans="2:32" ht="153" x14ac:dyDescent="0.2">
      <c r="B37" s="22">
        <v>2.2000000000000002</v>
      </c>
      <c r="C37" s="23" t="s">
        <v>18</v>
      </c>
      <c r="D37" s="233" t="s">
        <v>449</v>
      </c>
      <c r="E37" s="172" t="s">
        <v>148</v>
      </c>
      <c r="F37" s="25"/>
      <c r="G37" s="45">
        <f>IFERROR(VLOOKUP(tblRiskRegister[[#This Row],[Asset Class]],tblVCDBIndex[],4,FALSE),"")</f>
        <v>2</v>
      </c>
      <c r="H37" s="45" t="str">
        <f>IFERROR(VLOOKUP(10*tblRiskRegister[[#This Row],[Safeguard Maturity Score]]+tblRiskRegister[[#This Row],[VCDB Index]],tblHITIndexWeightTable[],4,FALSE),"")</f>
        <v/>
      </c>
      <c r="I37" s="45">
        <f>VLOOKUP(tblRiskRegister[[#This Row],[Asset Class]],tblImpactIndex[],2,FALSE)</f>
        <v>0</v>
      </c>
      <c r="J37" s="45">
        <f>VLOOKUP(tblRiskRegister[[#This Row],[Asset Class]],tblImpactIndex[],3,FALSE)</f>
        <v>0</v>
      </c>
      <c r="K37" s="45">
        <f>VLOOKUP(tblRiskRegister[[#This Row],[Asset Class]],tblImpactIndex[],4,FALSE)</f>
        <v>0</v>
      </c>
      <c r="L37" s="45" t="str">
        <f>IFERROR(MAX(tblRiskRegister[[#This Row],[Impact to Mission]:[Impact to Obligations]])*tblRiskRegister[[#This Row],[Expectancy Score]],"")</f>
        <v/>
      </c>
      <c r="M37" s="45" t="str">
        <f>tblRiskRegister[[#This Row],[Risk Score]]</f>
        <v/>
      </c>
      <c r="N37" s="203"/>
      <c r="O37" s="37">
        <v>2.2000000000000002</v>
      </c>
      <c r="P37" s="24" t="s">
        <v>18</v>
      </c>
      <c r="Q37" s="24" t="s">
        <v>174</v>
      </c>
      <c r="R37" s="24"/>
      <c r="S37" s="25"/>
      <c r="T37" s="46" t="str">
        <f>IFERROR(VLOOKUP(10*tblRiskRegister[[#This Row],[Risk Treatment Safeguard Maturity Score]]+tblRiskRegister[[#This Row],[VCDB Index]],tblHITIndexWeightTable[],4,FALSE),"")</f>
        <v/>
      </c>
      <c r="U37" s="46">
        <f>VLOOKUP(tblRiskRegister[[#This Row],[Asset Class]],tblImpactIndex[],2,FALSE)</f>
        <v>0</v>
      </c>
      <c r="V37" s="46">
        <f>VLOOKUP(tblRiskRegister[[#This Row],[Asset Class]],tblImpactIndex[],3,FALSE)</f>
        <v>0</v>
      </c>
      <c r="W37" s="46">
        <f>VLOOKUP(tblRiskRegister[[#This Row],[Asset Class]],tblImpactIndex[],4,FALSE)</f>
        <v>0</v>
      </c>
      <c r="X37" s="46" t="str">
        <f>IFERROR(MAX(tblRiskRegister[[#This Row],[Risk Treatment Safeguard Impact to Mission]:[Risk Treatment Safeguard Impact to Obligations]])*tblRiskRegister[[#This Row],[Risk Treatment
Safeguard Expectancy Score]],"")</f>
        <v/>
      </c>
      <c r="Y37" s="46" t="str">
        <f>IF(tblRiskRegister[[#This Row],[Risk Score]]&gt;5,IF(tblRiskRegister[[#This Row],[Risk Treatment Safeguard Risk Score]]&lt;6, IF(tblRiskRegister[[#This Row],[Risk Treatment Safeguard Risk Score]]&lt;=tblRiskRegister[[#This Row],[Risk Score]],"Yes","No"),"No"),"Yes")</f>
        <v>No</v>
      </c>
      <c r="Z37" s="26"/>
      <c r="AA37" s="26"/>
      <c r="AB37" s="27"/>
      <c r="AD37" s="28">
        <f>SUMIF(tblRiskRegister[[#All],[Implementation Year]],"="&amp;tblCostImpacts[[#This Row],[Year]],tblRiskRegister[[#All],[Risk Treatment Safeguard Cost]])</f>
        <v>0</v>
      </c>
      <c r="AE37" s="13">
        <v>2024</v>
      </c>
      <c r="AF37" s="13" t="str">
        <f>IF(tblCostImpacts[[#This Row],[Impact to Financial Objectives]]&lt;=$E$12,"Yes","No")</f>
        <v>Yes</v>
      </c>
    </row>
    <row r="38" spans="2:32" ht="63.75" x14ac:dyDescent="0.2">
      <c r="B38" s="22">
        <v>2.6</v>
      </c>
      <c r="C38" s="23" t="s">
        <v>364</v>
      </c>
      <c r="D38" s="233" t="s">
        <v>450</v>
      </c>
      <c r="E38" s="172" t="s">
        <v>148</v>
      </c>
      <c r="F38" s="25"/>
      <c r="G38" s="45">
        <f>IFERROR(VLOOKUP(tblRiskRegister[[#This Row],[Asset Class]],tblVCDBIndex[],4,FALSE),"")</f>
        <v>2</v>
      </c>
      <c r="H38" s="45" t="str">
        <f>IFERROR(VLOOKUP(10*tblRiskRegister[[#This Row],[Safeguard Maturity Score]]+tblRiskRegister[[#This Row],[VCDB Index]],tblHITIndexWeightTable[],4,FALSE),"")</f>
        <v/>
      </c>
      <c r="I38" s="45">
        <f>VLOOKUP(tblRiskRegister[[#This Row],[Asset Class]],tblImpactIndex[],2,FALSE)</f>
        <v>0</v>
      </c>
      <c r="J38" s="45">
        <f>VLOOKUP(tblRiskRegister[[#This Row],[Asset Class]],tblImpactIndex[],3,FALSE)</f>
        <v>0</v>
      </c>
      <c r="K38" s="45">
        <f>VLOOKUP(tblRiskRegister[[#This Row],[Asset Class]],tblImpactIndex[],4,FALSE)</f>
        <v>0</v>
      </c>
      <c r="L38" s="45" t="str">
        <f>IFERROR(MAX(tblRiskRegister[[#This Row],[Impact to Mission]:[Impact to Obligations]])*tblRiskRegister[[#This Row],[Expectancy Score]],"")</f>
        <v/>
      </c>
      <c r="M38" s="45" t="str">
        <f>tblRiskRegister[[#This Row],[Risk Score]]</f>
        <v/>
      </c>
      <c r="N38" s="203"/>
      <c r="O38" s="37">
        <v>2.6</v>
      </c>
      <c r="P38" s="24" t="s">
        <v>364</v>
      </c>
      <c r="Q38" s="24" t="s">
        <v>417</v>
      </c>
      <c r="R38" s="24"/>
      <c r="S38" s="25"/>
      <c r="T38" s="46" t="str">
        <f>IFERROR(VLOOKUP(10*tblRiskRegister[[#This Row],[Risk Treatment Safeguard Maturity Score]]+tblRiskRegister[[#This Row],[VCDB Index]],tblHITIndexWeightTable[],4,FALSE),"")</f>
        <v/>
      </c>
      <c r="U38" s="46">
        <f>VLOOKUP(tblRiskRegister[[#This Row],[Asset Class]],tblImpactIndex[],2,FALSE)</f>
        <v>0</v>
      </c>
      <c r="V38" s="46">
        <f>VLOOKUP(tblRiskRegister[[#This Row],[Asset Class]],tblImpactIndex[],3,FALSE)</f>
        <v>0</v>
      </c>
      <c r="W38" s="46">
        <f>VLOOKUP(tblRiskRegister[[#This Row],[Asset Class]],tblImpactIndex[],4,FALSE)</f>
        <v>0</v>
      </c>
      <c r="X38" s="46" t="str">
        <f>IFERROR(MAX(tblRiskRegister[[#This Row],[Risk Treatment Safeguard Impact to Mission]:[Risk Treatment Safeguard Impact to Obligations]])*tblRiskRegister[[#This Row],[Risk Treatment
Safeguard Expectancy Score]],"")</f>
        <v/>
      </c>
      <c r="Y38" s="46" t="str">
        <f>IF(tblRiskRegister[[#This Row],[Risk Score]]&gt;5,IF(tblRiskRegister[[#This Row],[Risk Treatment Safeguard Risk Score]]&lt;6, IF(tblRiskRegister[[#This Row],[Risk Treatment Safeguard Risk Score]]&lt;=tblRiskRegister[[#This Row],[Risk Score]],"Yes","No"),"No"),"Yes")</f>
        <v>No</v>
      </c>
      <c r="Z38" s="26"/>
      <c r="AA38" s="26"/>
      <c r="AB38" s="27"/>
      <c r="AD38" s="28">
        <f>SUMIF(tblRiskRegister[[#All],[Implementation Year]],"="&amp;tblCostImpacts[[#This Row],[Year]],tblRiskRegister[[#All],[Risk Treatment Safeguard Cost]])</f>
        <v>0</v>
      </c>
      <c r="AE38" s="13">
        <v>2025</v>
      </c>
      <c r="AF38" s="13" t="str">
        <f>IF(tblCostImpacts[[#This Row],[Impact to Financial Objectives]]&lt;=$E$12,"Yes","No")</f>
        <v>Yes</v>
      </c>
    </row>
    <row r="39" spans="2:32" ht="89.25" x14ac:dyDescent="0.2">
      <c r="B39" s="22">
        <v>3.4</v>
      </c>
      <c r="C39" s="23" t="s">
        <v>19</v>
      </c>
      <c r="D39" s="233" t="s">
        <v>451</v>
      </c>
      <c r="E39" s="172" t="s">
        <v>147</v>
      </c>
      <c r="F39" s="25"/>
      <c r="G39" s="45">
        <f>IFERROR(VLOOKUP(tblRiskRegister[[#This Row],[Asset Class]],tblVCDBIndex[],4,FALSE),"")</f>
        <v>1</v>
      </c>
      <c r="H39" s="45" t="str">
        <f>IFERROR(VLOOKUP(10*tblRiskRegister[[#This Row],[Safeguard Maturity Score]]+tblRiskRegister[[#This Row],[VCDB Index]],tblHITIndexWeightTable[],4,FALSE),"")</f>
        <v/>
      </c>
      <c r="I39" s="45">
        <f>VLOOKUP(tblRiskRegister[[#This Row],[Asset Class]],tblImpactIndex[],2,FALSE)</f>
        <v>0</v>
      </c>
      <c r="J39" s="45">
        <f>VLOOKUP(tblRiskRegister[[#This Row],[Asset Class]],tblImpactIndex[],3,FALSE)</f>
        <v>0</v>
      </c>
      <c r="K39" s="45">
        <f>VLOOKUP(tblRiskRegister[[#This Row],[Asset Class]],tblImpactIndex[],4,FALSE)</f>
        <v>0</v>
      </c>
      <c r="L39" s="45" t="str">
        <f>IFERROR(MAX(tblRiskRegister[[#This Row],[Impact to Mission]:[Impact to Obligations]])*tblRiskRegister[[#This Row],[Expectancy Score]],"")</f>
        <v/>
      </c>
      <c r="M39" s="45" t="str">
        <f>tblRiskRegister[[#This Row],[Risk Score]]</f>
        <v/>
      </c>
      <c r="N39" s="203"/>
      <c r="O39" s="37">
        <v>3.4</v>
      </c>
      <c r="P39" s="24" t="s">
        <v>19</v>
      </c>
      <c r="Q39" s="24" t="s">
        <v>175</v>
      </c>
      <c r="R39" s="24"/>
      <c r="S39" s="25"/>
      <c r="T39" s="46" t="str">
        <f>IFERROR(VLOOKUP(10*tblRiskRegister[[#This Row],[Risk Treatment Safeguard Maturity Score]]+tblRiskRegister[[#This Row],[VCDB Index]],tblHITIndexWeightTable[],4,FALSE),"")</f>
        <v/>
      </c>
      <c r="U39" s="46">
        <f>VLOOKUP(tblRiskRegister[[#This Row],[Asset Class]],tblImpactIndex[],2,FALSE)</f>
        <v>0</v>
      </c>
      <c r="V39" s="46">
        <f>VLOOKUP(tblRiskRegister[[#This Row],[Asset Class]],tblImpactIndex[],3,FALSE)</f>
        <v>0</v>
      </c>
      <c r="W39" s="46">
        <f>VLOOKUP(tblRiskRegister[[#This Row],[Asset Class]],tblImpactIndex[],4,FALSE)</f>
        <v>0</v>
      </c>
      <c r="X39" s="46" t="str">
        <f>IFERROR(MAX(tblRiskRegister[[#This Row],[Risk Treatment Safeguard Impact to Mission]:[Risk Treatment Safeguard Impact to Obligations]])*tblRiskRegister[[#This Row],[Risk Treatment
Safeguard Expectancy Score]],"")</f>
        <v/>
      </c>
      <c r="Y39" s="46" t="str">
        <f>IF(tblRiskRegister[[#This Row],[Risk Score]]&gt;5,IF(tblRiskRegister[[#This Row],[Risk Treatment Safeguard Risk Score]]&lt;6, IF(tblRiskRegister[[#This Row],[Risk Treatment Safeguard Risk Score]]&lt;=tblRiskRegister[[#This Row],[Risk Score]],"Yes","No"),"No"),"Yes")</f>
        <v>No</v>
      </c>
      <c r="Z39" s="26"/>
      <c r="AA39" s="26"/>
      <c r="AB39" s="27"/>
      <c r="AD39" s="28">
        <f>SUMIF(tblRiskRegister[[#All],[Implementation Year]],"="&amp;tblCostImpacts[[#This Row],[Year]],tblRiskRegister[[#All],[Risk Treatment Safeguard Cost]])</f>
        <v>0</v>
      </c>
      <c r="AE39" s="13">
        <v>2026</v>
      </c>
      <c r="AF39" s="13" t="str">
        <f>IF(tblCostImpacts[[#This Row],[Impact to Financial Objectives]]&lt;=$E$12,"Yes","No")</f>
        <v>Yes</v>
      </c>
    </row>
    <row r="40" spans="2:32" ht="102" x14ac:dyDescent="0.2">
      <c r="B40" s="22">
        <v>3.5</v>
      </c>
      <c r="C40" s="23" t="s">
        <v>20</v>
      </c>
      <c r="D40" s="233" t="s">
        <v>451</v>
      </c>
      <c r="E40" s="172" t="s">
        <v>147</v>
      </c>
      <c r="F40" s="25"/>
      <c r="G40" s="45">
        <f>IFERROR(VLOOKUP(tblRiskRegister[[#This Row],[Asset Class]],tblVCDBIndex[],4,FALSE),"")</f>
        <v>1</v>
      </c>
      <c r="H40" s="45" t="str">
        <f>IFERROR(VLOOKUP(10*tblRiskRegister[[#This Row],[Safeguard Maturity Score]]+tblRiskRegister[[#This Row],[VCDB Index]],tblHITIndexWeightTable[],4,FALSE),"")</f>
        <v/>
      </c>
      <c r="I40" s="45">
        <f>VLOOKUP(tblRiskRegister[[#This Row],[Asset Class]],tblImpactIndex[],2,FALSE)</f>
        <v>0</v>
      </c>
      <c r="J40" s="45">
        <f>VLOOKUP(tblRiskRegister[[#This Row],[Asset Class]],tblImpactIndex[],3,FALSE)</f>
        <v>0</v>
      </c>
      <c r="K40" s="45">
        <f>VLOOKUP(tblRiskRegister[[#This Row],[Asset Class]],tblImpactIndex[],4,FALSE)</f>
        <v>0</v>
      </c>
      <c r="L40" s="45" t="str">
        <f>IFERROR(MAX(tblRiskRegister[[#This Row],[Impact to Mission]:[Impact to Obligations]])*tblRiskRegister[[#This Row],[Expectancy Score]],"")</f>
        <v/>
      </c>
      <c r="M40" s="45" t="str">
        <f>tblRiskRegister[[#This Row],[Risk Score]]</f>
        <v/>
      </c>
      <c r="N40" s="203"/>
      <c r="O40" s="37">
        <v>3.5</v>
      </c>
      <c r="P40" s="24" t="s">
        <v>20</v>
      </c>
      <c r="Q40" s="24" t="s">
        <v>176</v>
      </c>
      <c r="R40" s="24"/>
      <c r="S40" s="25"/>
      <c r="T40" s="46" t="str">
        <f>IFERROR(VLOOKUP(10*tblRiskRegister[[#This Row],[Risk Treatment Safeguard Maturity Score]]+tblRiskRegister[[#This Row],[VCDB Index]],tblHITIndexWeightTable[],4,FALSE),"")</f>
        <v/>
      </c>
      <c r="U40" s="46">
        <f>VLOOKUP(tblRiskRegister[[#This Row],[Asset Class]],tblImpactIndex[],2,FALSE)</f>
        <v>0</v>
      </c>
      <c r="V40" s="46">
        <f>VLOOKUP(tblRiskRegister[[#This Row],[Asset Class]],tblImpactIndex[],3,FALSE)</f>
        <v>0</v>
      </c>
      <c r="W40" s="46">
        <f>VLOOKUP(tblRiskRegister[[#This Row],[Asset Class]],tblImpactIndex[],4,FALSE)</f>
        <v>0</v>
      </c>
      <c r="X40" s="46" t="str">
        <f>IFERROR(MAX(tblRiskRegister[[#This Row],[Risk Treatment Safeguard Impact to Mission]:[Risk Treatment Safeguard Impact to Obligations]])*tblRiskRegister[[#This Row],[Risk Treatment
Safeguard Expectancy Score]],"")</f>
        <v/>
      </c>
      <c r="Y40" s="46" t="str">
        <f>IF(tblRiskRegister[[#This Row],[Risk Score]]&gt;5,IF(tblRiskRegister[[#This Row],[Risk Treatment Safeguard Risk Score]]&lt;6, IF(tblRiskRegister[[#This Row],[Risk Treatment Safeguard Risk Score]]&lt;=tblRiskRegister[[#This Row],[Risk Score]],"Yes","No"),"No"),"Yes")</f>
        <v>No</v>
      </c>
      <c r="Z40" s="26"/>
      <c r="AA40" s="26"/>
      <c r="AB40" s="27"/>
      <c r="AD40" s="28">
        <f>SUMIF(tblRiskRegister[[#All],[Implementation Year]],"="&amp;tblCostImpacts[[#This Row],[Year]],tblRiskRegister[[#All],[Risk Treatment Safeguard Cost]])</f>
        <v>0</v>
      </c>
      <c r="AE40" s="13">
        <v>2027</v>
      </c>
      <c r="AF40" s="13" t="str">
        <f>IF(tblCostImpacts[[#This Row],[Impact to Financial Objectives]]&lt;=$E$12,"Yes","No")</f>
        <v>Yes</v>
      </c>
    </row>
    <row r="41" spans="2:32" ht="76.5" x14ac:dyDescent="0.2">
      <c r="B41" s="22">
        <v>4.2</v>
      </c>
      <c r="C41" s="23" t="s">
        <v>21</v>
      </c>
      <c r="D41" s="233" t="s">
        <v>451</v>
      </c>
      <c r="E41" s="172" t="s">
        <v>150</v>
      </c>
      <c r="F41" s="25"/>
      <c r="G41" s="45">
        <f>IFERROR(VLOOKUP(tblRiskRegister[[#This Row],[Asset Class]],tblVCDBIndex[],4,FALSE),"")</f>
        <v>3</v>
      </c>
      <c r="H41" s="45" t="str">
        <f>IFERROR(VLOOKUP(10*tblRiskRegister[[#This Row],[Safeguard Maturity Score]]+tblRiskRegister[[#This Row],[VCDB Index]],tblHITIndexWeightTable[],4,FALSE),"")</f>
        <v/>
      </c>
      <c r="I41" s="45">
        <f>VLOOKUP(tblRiskRegister[[#This Row],[Asset Class]],tblImpactIndex[],2,FALSE)</f>
        <v>0</v>
      </c>
      <c r="J41" s="45">
        <f>VLOOKUP(tblRiskRegister[[#This Row],[Asset Class]],tblImpactIndex[],3,FALSE)</f>
        <v>0</v>
      </c>
      <c r="K41" s="45">
        <f>VLOOKUP(tblRiskRegister[[#This Row],[Asset Class]],tblImpactIndex[],4,FALSE)</f>
        <v>0</v>
      </c>
      <c r="L41" s="45" t="str">
        <f>IFERROR(MAX(tblRiskRegister[[#This Row],[Impact to Mission]:[Impact to Obligations]])*tblRiskRegister[[#This Row],[Expectancy Score]],"")</f>
        <v/>
      </c>
      <c r="M41" s="45" t="str">
        <f>tblRiskRegister[[#This Row],[Risk Score]]</f>
        <v/>
      </c>
      <c r="N41" s="203"/>
      <c r="O41" s="37">
        <v>4.2</v>
      </c>
      <c r="P41" s="24" t="s">
        <v>21</v>
      </c>
      <c r="Q41" s="24" t="s">
        <v>177</v>
      </c>
      <c r="R41" s="24"/>
      <c r="S41" s="25"/>
      <c r="T41" s="46" t="str">
        <f>IFERROR(VLOOKUP(10*tblRiskRegister[[#This Row],[Risk Treatment Safeguard Maturity Score]]+tblRiskRegister[[#This Row],[VCDB Index]],tblHITIndexWeightTable[],4,FALSE),"")</f>
        <v/>
      </c>
      <c r="U41" s="46">
        <f>VLOOKUP(tblRiskRegister[[#This Row],[Asset Class]],tblImpactIndex[],2,FALSE)</f>
        <v>0</v>
      </c>
      <c r="V41" s="46">
        <f>VLOOKUP(tblRiskRegister[[#This Row],[Asset Class]],tblImpactIndex[],3,FALSE)</f>
        <v>0</v>
      </c>
      <c r="W41" s="46">
        <f>VLOOKUP(tblRiskRegister[[#This Row],[Asset Class]],tblImpactIndex[],4,FALSE)</f>
        <v>0</v>
      </c>
      <c r="X41" s="46" t="str">
        <f>IFERROR(MAX(tblRiskRegister[[#This Row],[Risk Treatment Safeguard Impact to Mission]:[Risk Treatment Safeguard Impact to Obligations]])*tblRiskRegister[[#This Row],[Risk Treatment
Safeguard Expectancy Score]],"")</f>
        <v/>
      </c>
      <c r="Y41" s="46" t="str">
        <f>IF(tblRiskRegister[[#This Row],[Risk Score]]&gt;5,IF(tblRiskRegister[[#This Row],[Risk Treatment Safeguard Risk Score]]&lt;6, IF(tblRiskRegister[[#This Row],[Risk Treatment Safeguard Risk Score]]&lt;=tblRiskRegister[[#This Row],[Risk Score]],"Yes","No"),"No"),"Yes")</f>
        <v>No</v>
      </c>
      <c r="Z41" s="26"/>
      <c r="AA41" s="26"/>
      <c r="AB41" s="27"/>
      <c r="AD41" s="28">
        <f>SUMIF(tblRiskRegister[[#All],[Implementation Year]],"="&amp;tblCostImpacts[[#This Row],[Year]],tblRiskRegister[[#All],[Risk Treatment Safeguard Cost]])</f>
        <v>0</v>
      </c>
      <c r="AE41" s="13">
        <v>2028</v>
      </c>
      <c r="AF41" s="13" t="str">
        <f>IF(tblCostImpacts[[#This Row],[Impact to Financial Objectives]]&lt;=$E$12,"Yes","No")</f>
        <v>Yes</v>
      </c>
    </row>
    <row r="42" spans="2:32" ht="127.5" x14ac:dyDescent="0.2">
      <c r="B42" s="22">
        <v>4.3</v>
      </c>
      <c r="C42" s="23" t="s">
        <v>22</v>
      </c>
      <c r="D42" s="233" t="s">
        <v>451</v>
      </c>
      <c r="E42" s="172" t="s">
        <v>150</v>
      </c>
      <c r="F42" s="25"/>
      <c r="G42" s="45">
        <f>IFERROR(VLOOKUP(tblRiskRegister[[#This Row],[Asset Class]],tblVCDBIndex[],4,FALSE),"")</f>
        <v>3</v>
      </c>
      <c r="H42" s="45" t="str">
        <f>IFERROR(VLOOKUP(10*tblRiskRegister[[#This Row],[Safeguard Maturity Score]]+tblRiskRegister[[#This Row],[VCDB Index]],tblHITIndexWeightTable[],4,FALSE),"")</f>
        <v/>
      </c>
      <c r="I42" s="45">
        <f>VLOOKUP(tblRiskRegister[[#This Row],[Asset Class]],tblImpactIndex[],2,FALSE)</f>
        <v>0</v>
      </c>
      <c r="J42" s="45">
        <f>VLOOKUP(tblRiskRegister[[#This Row],[Asset Class]],tblImpactIndex[],3,FALSE)</f>
        <v>0</v>
      </c>
      <c r="K42" s="45">
        <f>VLOOKUP(tblRiskRegister[[#This Row],[Asset Class]],tblImpactIndex[],4,FALSE)</f>
        <v>0</v>
      </c>
      <c r="L42" s="45" t="str">
        <f>IFERROR(MAX(tblRiskRegister[[#This Row],[Impact to Mission]:[Impact to Obligations]])*tblRiskRegister[[#This Row],[Expectancy Score]],"")</f>
        <v/>
      </c>
      <c r="M42" s="45" t="str">
        <f>tblRiskRegister[[#This Row],[Risk Score]]</f>
        <v/>
      </c>
      <c r="N42" s="203"/>
      <c r="O42" s="37">
        <v>4.3</v>
      </c>
      <c r="P42" s="24" t="s">
        <v>22</v>
      </c>
      <c r="Q42" s="24" t="s">
        <v>178</v>
      </c>
      <c r="R42" s="24"/>
      <c r="S42" s="25"/>
      <c r="T42" s="46" t="str">
        <f>IFERROR(VLOOKUP(10*tblRiskRegister[[#This Row],[Risk Treatment Safeguard Maturity Score]]+tblRiskRegister[[#This Row],[VCDB Index]],tblHITIndexWeightTable[],4,FALSE),"")</f>
        <v/>
      </c>
      <c r="U42" s="46">
        <f>VLOOKUP(tblRiskRegister[[#This Row],[Asset Class]],tblImpactIndex[],2,FALSE)</f>
        <v>0</v>
      </c>
      <c r="V42" s="46">
        <f>VLOOKUP(tblRiskRegister[[#This Row],[Asset Class]],tblImpactIndex[],3,FALSE)</f>
        <v>0</v>
      </c>
      <c r="W42" s="46">
        <f>VLOOKUP(tblRiskRegister[[#This Row],[Asset Class]],tblImpactIndex[],4,FALSE)</f>
        <v>0</v>
      </c>
      <c r="X42" s="46" t="str">
        <f>IFERROR(MAX(tblRiskRegister[[#This Row],[Risk Treatment Safeguard Impact to Mission]:[Risk Treatment Safeguard Impact to Obligations]])*tblRiskRegister[[#This Row],[Risk Treatment
Safeguard Expectancy Score]],"")</f>
        <v/>
      </c>
      <c r="Y42" s="46" t="str">
        <f>IF(tblRiskRegister[[#This Row],[Risk Score]]&gt;5,IF(tblRiskRegister[[#This Row],[Risk Treatment Safeguard Risk Score]]&lt;6, IF(tblRiskRegister[[#This Row],[Risk Treatment Safeguard Risk Score]]&lt;=tblRiskRegister[[#This Row],[Risk Score]],"Yes","No"),"No"),"Yes")</f>
        <v>No</v>
      </c>
      <c r="Z42" s="26"/>
      <c r="AA42" s="26"/>
      <c r="AB42" s="27"/>
      <c r="AD42" s="28">
        <f>SUMIF(tblRiskRegister[[#All],[Implementation Year]],"="&amp;tblCostImpacts[[#This Row],[Year]],tblRiskRegister[[#All],[Risk Treatment Safeguard Cost]])</f>
        <v>0</v>
      </c>
      <c r="AE42" s="13">
        <v>2029</v>
      </c>
      <c r="AF42" s="13" t="str">
        <f>IF(tblCostImpacts[[#This Row],[Impact to Financial Objectives]]&lt;=$E$12,"Yes","No")</f>
        <v>Yes</v>
      </c>
    </row>
    <row r="43" spans="2:32" ht="76.5" x14ac:dyDescent="0.2">
      <c r="B43" s="22">
        <v>5.0999999999999996</v>
      </c>
      <c r="C43" s="23" t="s">
        <v>24</v>
      </c>
      <c r="D43" s="233" t="s">
        <v>451</v>
      </c>
      <c r="E43" s="172" t="s">
        <v>147</v>
      </c>
      <c r="F43" s="25"/>
      <c r="G43" s="45">
        <f>IFERROR(VLOOKUP(tblRiskRegister[[#This Row],[Asset Class]],tblVCDBIndex[],4,FALSE),"")</f>
        <v>1</v>
      </c>
      <c r="H43" s="45" t="str">
        <f>IFERROR(VLOOKUP(10*tblRiskRegister[[#This Row],[Safeguard Maturity Score]]+tblRiskRegister[[#This Row],[VCDB Index]],tblHITIndexWeightTable[],4,FALSE),"")</f>
        <v/>
      </c>
      <c r="I43" s="45">
        <f>VLOOKUP(tblRiskRegister[[#This Row],[Asset Class]],tblImpactIndex[],2,FALSE)</f>
        <v>0</v>
      </c>
      <c r="J43" s="45">
        <f>VLOOKUP(tblRiskRegister[[#This Row],[Asset Class]],tblImpactIndex[],3,FALSE)</f>
        <v>0</v>
      </c>
      <c r="K43" s="45">
        <f>VLOOKUP(tblRiskRegister[[#This Row],[Asset Class]],tblImpactIndex[],4,FALSE)</f>
        <v>0</v>
      </c>
      <c r="L43" s="45" t="str">
        <f>IFERROR(MAX(tblRiskRegister[[#This Row],[Impact to Mission]:[Impact to Obligations]])*tblRiskRegister[[#This Row],[Expectancy Score]],"")</f>
        <v/>
      </c>
      <c r="M43" s="45" t="str">
        <f>tblRiskRegister[[#This Row],[Risk Score]]</f>
        <v/>
      </c>
      <c r="N43" s="203"/>
      <c r="O43" s="37">
        <v>5.0999999999999996</v>
      </c>
      <c r="P43" s="24" t="s">
        <v>24</v>
      </c>
      <c r="Q43" s="24" t="s">
        <v>179</v>
      </c>
      <c r="R43" s="24"/>
      <c r="S43" s="25"/>
      <c r="T43" s="46" t="str">
        <f>IFERROR(VLOOKUP(10*tblRiskRegister[[#This Row],[Risk Treatment Safeguard Maturity Score]]+tblRiskRegister[[#This Row],[VCDB Index]],tblHITIndexWeightTable[],4,FALSE),"")</f>
        <v/>
      </c>
      <c r="U43" s="46">
        <f>VLOOKUP(tblRiskRegister[[#This Row],[Asset Class]],tblImpactIndex[],2,FALSE)</f>
        <v>0</v>
      </c>
      <c r="V43" s="46">
        <f>VLOOKUP(tblRiskRegister[[#This Row],[Asset Class]],tblImpactIndex[],3,FALSE)</f>
        <v>0</v>
      </c>
      <c r="W43" s="46">
        <f>VLOOKUP(tblRiskRegister[[#This Row],[Asset Class]],tblImpactIndex[],4,FALSE)</f>
        <v>0</v>
      </c>
      <c r="X43" s="46" t="str">
        <f>IFERROR(MAX(tblRiskRegister[[#This Row],[Risk Treatment Safeguard Impact to Mission]:[Risk Treatment Safeguard Impact to Obligations]])*tblRiskRegister[[#This Row],[Risk Treatment
Safeguard Expectancy Score]],"")</f>
        <v/>
      </c>
      <c r="Y43" s="46" t="str">
        <f>IF(tblRiskRegister[[#This Row],[Risk Score]]&gt;5,IF(tblRiskRegister[[#This Row],[Risk Treatment Safeguard Risk Score]]&lt;6, IF(tblRiskRegister[[#This Row],[Risk Treatment Safeguard Risk Score]]&lt;=tblRiskRegister[[#This Row],[Risk Score]],"Yes","No"),"No"),"Yes")</f>
        <v>No</v>
      </c>
      <c r="Z43" s="26"/>
      <c r="AA43" s="26"/>
      <c r="AB43" s="27"/>
      <c r="AD43" s="28">
        <f>SUMIF(tblRiskRegister[[#All],[Implementation Year]],"="&amp;tblCostImpacts[[#This Row],[Year]],tblRiskRegister[[#All],[Risk Treatment Safeguard Cost]])</f>
        <v>0</v>
      </c>
      <c r="AE43" s="13">
        <v>2030</v>
      </c>
      <c r="AF43" s="13" t="str">
        <f>IF(tblCostImpacts[[#This Row],[Impact to Financial Objectives]]&lt;=$E$12,"Yes","No")</f>
        <v>Yes</v>
      </c>
    </row>
    <row r="44" spans="2:32" ht="51" x14ac:dyDescent="0.2">
      <c r="B44" s="22">
        <v>6.2</v>
      </c>
      <c r="C44" s="23" t="s">
        <v>82</v>
      </c>
      <c r="D44" s="233" t="s">
        <v>452</v>
      </c>
      <c r="E44" s="172" t="s">
        <v>147</v>
      </c>
      <c r="F44" s="25"/>
      <c r="G44" s="45">
        <f>IFERROR(VLOOKUP(tblRiskRegister[[#This Row],[Asset Class]],tblVCDBIndex[],4,FALSE),"")</f>
        <v>1</v>
      </c>
      <c r="H44" s="45" t="str">
        <f>IFERROR(VLOOKUP(10*tblRiskRegister[[#This Row],[Safeguard Maturity Score]]+tblRiskRegister[[#This Row],[VCDB Index]],tblHITIndexWeightTable[],4,FALSE),"")</f>
        <v/>
      </c>
      <c r="I44" s="45">
        <f>VLOOKUP(tblRiskRegister[[#This Row],[Asset Class]],tblImpactIndex[],2,FALSE)</f>
        <v>0</v>
      </c>
      <c r="J44" s="45">
        <f>VLOOKUP(tblRiskRegister[[#This Row],[Asset Class]],tblImpactIndex[],3,FALSE)</f>
        <v>0</v>
      </c>
      <c r="K44" s="45">
        <f>VLOOKUP(tblRiskRegister[[#This Row],[Asset Class]],tblImpactIndex[],4,FALSE)</f>
        <v>0</v>
      </c>
      <c r="L44" s="45" t="str">
        <f>IFERROR(MAX(tblRiskRegister[[#This Row],[Impact to Mission]:[Impact to Obligations]])*tblRiskRegister[[#This Row],[Expectancy Score]],"")</f>
        <v/>
      </c>
      <c r="M44" s="45" t="str">
        <f>tblRiskRegister[[#This Row],[Risk Score]]</f>
        <v/>
      </c>
      <c r="N44" s="203"/>
      <c r="O44" s="37">
        <v>6.2</v>
      </c>
      <c r="P44" s="24" t="s">
        <v>82</v>
      </c>
      <c r="Q44" s="24" t="s">
        <v>180</v>
      </c>
      <c r="R44" s="24"/>
      <c r="S44" s="25"/>
      <c r="T44" s="46" t="str">
        <f>IFERROR(VLOOKUP(10*tblRiskRegister[[#This Row],[Risk Treatment Safeguard Maturity Score]]+tblRiskRegister[[#This Row],[VCDB Index]],tblHITIndexWeightTable[],4,FALSE),"")</f>
        <v/>
      </c>
      <c r="U44" s="46">
        <f>VLOOKUP(tblRiskRegister[[#This Row],[Asset Class]],tblImpactIndex[],2,FALSE)</f>
        <v>0</v>
      </c>
      <c r="V44" s="46">
        <f>VLOOKUP(tblRiskRegister[[#This Row],[Asset Class]],tblImpactIndex[],3,FALSE)</f>
        <v>0</v>
      </c>
      <c r="W44" s="46">
        <f>VLOOKUP(tblRiskRegister[[#This Row],[Asset Class]],tblImpactIndex[],4,FALSE)</f>
        <v>0</v>
      </c>
      <c r="X44" s="46" t="str">
        <f>IFERROR(MAX(tblRiskRegister[[#This Row],[Risk Treatment Safeguard Impact to Mission]:[Risk Treatment Safeguard Impact to Obligations]])*tblRiskRegister[[#This Row],[Risk Treatment
Safeguard Expectancy Score]],"")</f>
        <v/>
      </c>
      <c r="Y44" s="46" t="str">
        <f>IF(tblRiskRegister[[#This Row],[Risk Score]]&gt;5,IF(tblRiskRegister[[#This Row],[Risk Treatment Safeguard Risk Score]]&lt;6, IF(tblRiskRegister[[#This Row],[Risk Treatment Safeguard Risk Score]]&lt;=tblRiskRegister[[#This Row],[Risk Score]],"Yes","No"),"No"),"Yes")</f>
        <v>No</v>
      </c>
      <c r="Z44" s="26"/>
      <c r="AA44" s="26"/>
      <c r="AB44" s="27"/>
    </row>
    <row r="45" spans="2:32" ht="114.75" x14ac:dyDescent="0.2">
      <c r="B45" s="22">
        <v>7.1</v>
      </c>
      <c r="C45" s="23" t="s">
        <v>25</v>
      </c>
      <c r="D45" s="233" t="s">
        <v>451</v>
      </c>
      <c r="E45" s="172" t="s">
        <v>147</v>
      </c>
      <c r="F45" s="25"/>
      <c r="G45" s="45">
        <f>IFERROR(VLOOKUP(tblRiskRegister[[#This Row],[Asset Class]],tblVCDBIndex[],4,FALSE),"")</f>
        <v>1</v>
      </c>
      <c r="H45" s="45" t="str">
        <f>IFERROR(VLOOKUP(10*tblRiskRegister[[#This Row],[Safeguard Maturity Score]]+tblRiskRegister[[#This Row],[VCDB Index]],tblHITIndexWeightTable[],4,FALSE),"")</f>
        <v/>
      </c>
      <c r="I45" s="45">
        <f>VLOOKUP(tblRiskRegister[[#This Row],[Asset Class]],tblImpactIndex[],2,FALSE)</f>
        <v>0</v>
      </c>
      <c r="J45" s="45">
        <f>VLOOKUP(tblRiskRegister[[#This Row],[Asset Class]],tblImpactIndex[],3,FALSE)</f>
        <v>0</v>
      </c>
      <c r="K45" s="45">
        <f>VLOOKUP(tblRiskRegister[[#This Row],[Asset Class]],tblImpactIndex[],4,FALSE)</f>
        <v>0</v>
      </c>
      <c r="L45" s="45" t="str">
        <f>IFERROR(MAX(tblRiskRegister[[#This Row],[Impact to Mission]:[Impact to Obligations]])*tblRiskRegister[[#This Row],[Expectancy Score]],"")</f>
        <v/>
      </c>
      <c r="M45" s="45" t="str">
        <f>tblRiskRegister[[#This Row],[Risk Score]]</f>
        <v/>
      </c>
      <c r="N45" s="203"/>
      <c r="O45" s="37">
        <v>7.1</v>
      </c>
      <c r="P45" s="24" t="s">
        <v>25</v>
      </c>
      <c r="Q45" s="24" t="s">
        <v>181</v>
      </c>
      <c r="R45" s="24"/>
      <c r="S45" s="25"/>
      <c r="T45" s="46" t="str">
        <f>IFERROR(VLOOKUP(10*tblRiskRegister[[#This Row],[Risk Treatment Safeguard Maturity Score]]+tblRiskRegister[[#This Row],[VCDB Index]],tblHITIndexWeightTable[],4,FALSE),"")</f>
        <v/>
      </c>
      <c r="U45" s="46">
        <f>VLOOKUP(tblRiskRegister[[#This Row],[Asset Class]],tblImpactIndex[],2,FALSE)</f>
        <v>0</v>
      </c>
      <c r="V45" s="46">
        <f>VLOOKUP(tblRiskRegister[[#This Row],[Asset Class]],tblImpactIndex[],3,FALSE)</f>
        <v>0</v>
      </c>
      <c r="W45" s="46">
        <f>VLOOKUP(tblRiskRegister[[#This Row],[Asset Class]],tblImpactIndex[],4,FALSE)</f>
        <v>0</v>
      </c>
      <c r="X45" s="46" t="str">
        <f>IFERROR(MAX(tblRiskRegister[[#This Row],[Risk Treatment Safeguard Impact to Mission]:[Risk Treatment Safeguard Impact to Obligations]])*tblRiskRegister[[#This Row],[Risk Treatment
Safeguard Expectancy Score]],"")</f>
        <v/>
      </c>
      <c r="Y45" s="46" t="str">
        <f>IF(tblRiskRegister[[#This Row],[Risk Score]]&gt;5,IF(tblRiskRegister[[#This Row],[Risk Treatment Safeguard Risk Score]]&lt;6, IF(tblRiskRegister[[#This Row],[Risk Treatment Safeguard Risk Score]]&lt;=tblRiskRegister[[#This Row],[Risk Score]],"Yes","No"),"No"),"Yes")</f>
        <v>No</v>
      </c>
      <c r="Z45" s="26"/>
      <c r="AA45" s="26"/>
      <c r="AB45" s="27"/>
    </row>
    <row r="46" spans="2:32" ht="51" x14ac:dyDescent="0.2">
      <c r="B46" s="22">
        <v>7.7</v>
      </c>
      <c r="C46" s="23" t="s">
        <v>26</v>
      </c>
      <c r="D46" s="233" t="s">
        <v>451</v>
      </c>
      <c r="E46" s="172" t="s">
        <v>147</v>
      </c>
      <c r="F46" s="25"/>
      <c r="G46" s="45">
        <f>IFERROR(VLOOKUP(tblRiskRegister[[#This Row],[Asset Class]],tblVCDBIndex[],4,FALSE),"")</f>
        <v>1</v>
      </c>
      <c r="H46" s="45" t="str">
        <f>IFERROR(VLOOKUP(10*tblRiskRegister[[#This Row],[Safeguard Maturity Score]]+tblRiskRegister[[#This Row],[VCDB Index]],tblHITIndexWeightTable[],4,FALSE),"")</f>
        <v/>
      </c>
      <c r="I46" s="45">
        <f>VLOOKUP(tblRiskRegister[[#This Row],[Asset Class]],tblImpactIndex[],2,FALSE)</f>
        <v>0</v>
      </c>
      <c r="J46" s="45">
        <f>VLOOKUP(tblRiskRegister[[#This Row],[Asset Class]],tblImpactIndex[],3,FALSE)</f>
        <v>0</v>
      </c>
      <c r="K46" s="45">
        <f>VLOOKUP(tblRiskRegister[[#This Row],[Asset Class]],tblImpactIndex[],4,FALSE)</f>
        <v>0</v>
      </c>
      <c r="L46" s="45" t="str">
        <f>IFERROR(MAX(tblRiskRegister[[#This Row],[Impact to Mission]:[Impact to Obligations]])*tblRiskRegister[[#This Row],[Expectancy Score]],"")</f>
        <v/>
      </c>
      <c r="M46" s="45" t="str">
        <f>tblRiskRegister[[#This Row],[Risk Score]]</f>
        <v/>
      </c>
      <c r="N46" s="203"/>
      <c r="O46" s="37">
        <v>7.7</v>
      </c>
      <c r="P46" s="24" t="s">
        <v>26</v>
      </c>
      <c r="Q46" s="24" t="s">
        <v>182</v>
      </c>
      <c r="R46" s="24"/>
      <c r="S46" s="25"/>
      <c r="T46" s="46" t="str">
        <f>IFERROR(VLOOKUP(10*tblRiskRegister[[#This Row],[Risk Treatment Safeguard Maturity Score]]+tblRiskRegister[[#This Row],[VCDB Index]],tblHITIndexWeightTable[],4,FALSE),"")</f>
        <v/>
      </c>
      <c r="U46" s="46">
        <f>VLOOKUP(tblRiskRegister[[#This Row],[Asset Class]],tblImpactIndex[],2,FALSE)</f>
        <v>0</v>
      </c>
      <c r="V46" s="46">
        <f>VLOOKUP(tblRiskRegister[[#This Row],[Asset Class]],tblImpactIndex[],3,FALSE)</f>
        <v>0</v>
      </c>
      <c r="W46" s="46">
        <f>VLOOKUP(tblRiskRegister[[#This Row],[Asset Class]],tblImpactIndex[],4,FALSE)</f>
        <v>0</v>
      </c>
      <c r="X46" s="46" t="str">
        <f>IFERROR(MAX(tblRiskRegister[[#This Row],[Risk Treatment Safeguard Impact to Mission]:[Risk Treatment Safeguard Impact to Obligations]])*tblRiskRegister[[#This Row],[Risk Treatment
Safeguard Expectancy Score]],"")</f>
        <v/>
      </c>
      <c r="Y46" s="46" t="str">
        <f>IF(tblRiskRegister[[#This Row],[Risk Score]]&gt;5,IF(tblRiskRegister[[#This Row],[Risk Treatment Safeguard Risk Score]]&lt;6, IF(tblRiskRegister[[#This Row],[Risk Treatment Safeguard Risk Score]]&lt;=tblRiskRegister[[#This Row],[Risk Score]],"Yes","No"),"No"),"Yes")</f>
        <v>No</v>
      </c>
      <c r="Z46" s="26"/>
      <c r="AA46" s="26"/>
      <c r="AB46" s="27"/>
    </row>
    <row r="47" spans="2:32" ht="89.25" x14ac:dyDescent="0.2">
      <c r="B47" s="22">
        <v>8.1999999999999993</v>
      </c>
      <c r="C47" s="23" t="s">
        <v>83</v>
      </c>
      <c r="D47" s="233" t="s">
        <v>451</v>
      </c>
      <c r="E47" s="172" t="s">
        <v>147</v>
      </c>
      <c r="F47" s="25"/>
      <c r="G47" s="45">
        <f>IFERROR(VLOOKUP(tblRiskRegister[[#This Row],[Asset Class]],tblVCDBIndex[],4,FALSE),"")</f>
        <v>1</v>
      </c>
      <c r="H47" s="45" t="str">
        <f>IFERROR(VLOOKUP(10*tblRiskRegister[[#This Row],[Safeguard Maturity Score]]+tblRiskRegister[[#This Row],[VCDB Index]],tblHITIndexWeightTable[],4,FALSE),"")</f>
        <v/>
      </c>
      <c r="I47" s="45">
        <f>VLOOKUP(tblRiskRegister[[#This Row],[Asset Class]],tblImpactIndex[],2,FALSE)</f>
        <v>0</v>
      </c>
      <c r="J47" s="45">
        <f>VLOOKUP(tblRiskRegister[[#This Row],[Asset Class]],tblImpactIndex[],3,FALSE)</f>
        <v>0</v>
      </c>
      <c r="K47" s="45">
        <f>VLOOKUP(tblRiskRegister[[#This Row],[Asset Class]],tblImpactIndex[],4,FALSE)</f>
        <v>0</v>
      </c>
      <c r="L47" s="45" t="str">
        <f>IFERROR(MAX(tblRiskRegister[[#This Row],[Impact to Mission]:[Impact to Obligations]])*tblRiskRegister[[#This Row],[Expectancy Score]],"")</f>
        <v/>
      </c>
      <c r="M47" s="45" t="str">
        <f>tblRiskRegister[[#This Row],[Risk Score]]</f>
        <v/>
      </c>
      <c r="N47" s="203"/>
      <c r="O47" s="37">
        <v>8.1999999999999993</v>
      </c>
      <c r="P47" s="24" t="s">
        <v>83</v>
      </c>
      <c r="Q47" s="24" t="s">
        <v>183</v>
      </c>
      <c r="R47" s="24"/>
      <c r="S47" s="25"/>
      <c r="T47" s="46" t="str">
        <f>IFERROR(VLOOKUP(10*tblRiskRegister[[#This Row],[Risk Treatment Safeguard Maturity Score]]+tblRiskRegister[[#This Row],[VCDB Index]],tblHITIndexWeightTable[],4,FALSE),"")</f>
        <v/>
      </c>
      <c r="U47" s="46">
        <f>VLOOKUP(tblRiskRegister[[#This Row],[Asset Class]],tblImpactIndex[],2,FALSE)</f>
        <v>0</v>
      </c>
      <c r="V47" s="46">
        <f>VLOOKUP(tblRiskRegister[[#This Row],[Asset Class]],tblImpactIndex[],3,FALSE)</f>
        <v>0</v>
      </c>
      <c r="W47" s="46">
        <f>VLOOKUP(tblRiskRegister[[#This Row],[Asset Class]],tblImpactIndex[],4,FALSE)</f>
        <v>0</v>
      </c>
      <c r="X47" s="46" t="str">
        <f>IFERROR(MAX(tblRiskRegister[[#This Row],[Risk Treatment Safeguard Impact to Mission]:[Risk Treatment Safeguard Impact to Obligations]])*tblRiskRegister[[#This Row],[Risk Treatment
Safeguard Expectancy Score]],"")</f>
        <v/>
      </c>
      <c r="Y47" s="46" t="str">
        <f>IF(tblRiskRegister[[#This Row],[Risk Score]]&gt;5,IF(tblRiskRegister[[#This Row],[Risk Treatment Safeguard Risk Score]]&lt;6, IF(tblRiskRegister[[#This Row],[Risk Treatment Safeguard Risk Score]]&lt;=tblRiskRegister[[#This Row],[Risk Score]],"Yes","No"),"No"),"Yes")</f>
        <v>No</v>
      </c>
      <c r="Z47" s="26"/>
      <c r="AA47" s="26"/>
      <c r="AB47" s="27"/>
    </row>
    <row r="48" spans="2:32" ht="76.5" x14ac:dyDescent="0.2">
      <c r="B48" s="22">
        <v>8.4</v>
      </c>
      <c r="C48" s="23" t="s">
        <v>27</v>
      </c>
      <c r="D48" s="233" t="s">
        <v>452</v>
      </c>
      <c r="E48" s="172" t="s">
        <v>147</v>
      </c>
      <c r="F48" s="25"/>
      <c r="G48" s="45">
        <f>IFERROR(VLOOKUP(tblRiskRegister[[#This Row],[Asset Class]],tblVCDBIndex[],4,FALSE),"")</f>
        <v>1</v>
      </c>
      <c r="H48" s="45" t="str">
        <f>IFERROR(VLOOKUP(10*tblRiskRegister[[#This Row],[Safeguard Maturity Score]]+tblRiskRegister[[#This Row],[VCDB Index]],tblHITIndexWeightTable[],4,FALSE),"")</f>
        <v/>
      </c>
      <c r="I48" s="45">
        <f>VLOOKUP(tblRiskRegister[[#This Row],[Asset Class]],tblImpactIndex[],2,FALSE)</f>
        <v>0</v>
      </c>
      <c r="J48" s="45">
        <f>VLOOKUP(tblRiskRegister[[#This Row],[Asset Class]],tblImpactIndex[],3,FALSE)</f>
        <v>0</v>
      </c>
      <c r="K48" s="45">
        <f>VLOOKUP(tblRiskRegister[[#This Row],[Asset Class]],tblImpactIndex[],4,FALSE)</f>
        <v>0</v>
      </c>
      <c r="L48" s="45" t="str">
        <f>IFERROR(MAX(tblRiskRegister[[#This Row],[Impact to Mission]:[Impact to Obligations]])*tblRiskRegister[[#This Row],[Expectancy Score]],"")</f>
        <v/>
      </c>
      <c r="M48" s="45" t="str">
        <f>tblRiskRegister[[#This Row],[Risk Score]]</f>
        <v/>
      </c>
      <c r="N48" s="203"/>
      <c r="O48" s="37">
        <v>8.4</v>
      </c>
      <c r="P48" s="24" t="s">
        <v>27</v>
      </c>
      <c r="Q48" s="24" t="s">
        <v>184</v>
      </c>
      <c r="R48" s="24"/>
      <c r="S48" s="25"/>
      <c r="T48" s="46" t="str">
        <f>IFERROR(VLOOKUP(10*tblRiskRegister[[#This Row],[Risk Treatment Safeguard Maturity Score]]+tblRiskRegister[[#This Row],[VCDB Index]],tblHITIndexWeightTable[],4,FALSE),"")</f>
        <v/>
      </c>
      <c r="U48" s="46">
        <f>VLOOKUP(tblRiskRegister[[#This Row],[Asset Class]],tblImpactIndex[],2,FALSE)</f>
        <v>0</v>
      </c>
      <c r="V48" s="46">
        <f>VLOOKUP(tblRiskRegister[[#This Row],[Asset Class]],tblImpactIndex[],3,FALSE)</f>
        <v>0</v>
      </c>
      <c r="W48" s="46">
        <f>VLOOKUP(tblRiskRegister[[#This Row],[Asset Class]],tblImpactIndex[],4,FALSE)</f>
        <v>0</v>
      </c>
      <c r="X48" s="46" t="str">
        <f>IFERROR(MAX(tblRiskRegister[[#This Row],[Risk Treatment Safeguard Impact to Mission]:[Risk Treatment Safeguard Impact to Obligations]])*tblRiskRegister[[#This Row],[Risk Treatment
Safeguard Expectancy Score]],"")</f>
        <v/>
      </c>
      <c r="Y48" s="46" t="str">
        <f>IF(tblRiskRegister[[#This Row],[Risk Score]]&gt;5,IF(tblRiskRegister[[#This Row],[Risk Treatment Safeguard Risk Score]]&lt;6, IF(tblRiskRegister[[#This Row],[Risk Treatment Safeguard Risk Score]]&lt;=tblRiskRegister[[#This Row],[Risk Score]],"Yes","No"),"No"),"Yes")</f>
        <v>No</v>
      </c>
      <c r="Z48" s="26"/>
      <c r="AA48" s="26"/>
      <c r="AB48" s="27"/>
    </row>
    <row r="49" spans="2:28" ht="38.25" x14ac:dyDescent="0.2">
      <c r="B49" s="22">
        <v>8.5</v>
      </c>
      <c r="C49" s="23" t="s">
        <v>84</v>
      </c>
      <c r="D49" s="233" t="s">
        <v>451</v>
      </c>
      <c r="E49" s="172" t="s">
        <v>147</v>
      </c>
      <c r="F49" s="25"/>
      <c r="G49" s="45">
        <f>IFERROR(VLOOKUP(tblRiskRegister[[#This Row],[Asset Class]],tblVCDBIndex[],4,FALSE),"")</f>
        <v>1</v>
      </c>
      <c r="H49" s="45" t="str">
        <f>IFERROR(VLOOKUP(10*tblRiskRegister[[#This Row],[Safeguard Maturity Score]]+tblRiskRegister[[#This Row],[VCDB Index]],tblHITIndexWeightTable[],4,FALSE),"")</f>
        <v/>
      </c>
      <c r="I49" s="45">
        <f>VLOOKUP(tblRiskRegister[[#This Row],[Asset Class]],tblImpactIndex[],2,FALSE)</f>
        <v>0</v>
      </c>
      <c r="J49" s="45">
        <f>VLOOKUP(tblRiskRegister[[#This Row],[Asset Class]],tblImpactIndex[],3,FALSE)</f>
        <v>0</v>
      </c>
      <c r="K49" s="45">
        <f>VLOOKUP(tblRiskRegister[[#This Row],[Asset Class]],tblImpactIndex[],4,FALSE)</f>
        <v>0</v>
      </c>
      <c r="L49" s="45" t="str">
        <f>IFERROR(MAX(tblRiskRegister[[#This Row],[Impact to Mission]:[Impact to Obligations]])*tblRiskRegister[[#This Row],[Expectancy Score]],"")</f>
        <v/>
      </c>
      <c r="M49" s="45" t="str">
        <f>tblRiskRegister[[#This Row],[Risk Score]]</f>
        <v/>
      </c>
      <c r="N49" s="203"/>
      <c r="O49" s="37">
        <v>8.5</v>
      </c>
      <c r="P49" s="24" t="s">
        <v>84</v>
      </c>
      <c r="Q49" s="24" t="s">
        <v>185</v>
      </c>
      <c r="R49" s="24"/>
      <c r="S49" s="25"/>
      <c r="T49" s="46" t="str">
        <f>IFERROR(VLOOKUP(10*tblRiskRegister[[#This Row],[Risk Treatment Safeguard Maturity Score]]+tblRiskRegister[[#This Row],[VCDB Index]],tblHITIndexWeightTable[],4,FALSE),"")</f>
        <v/>
      </c>
      <c r="U49" s="46">
        <f>VLOOKUP(tblRiskRegister[[#This Row],[Asset Class]],tblImpactIndex[],2,FALSE)</f>
        <v>0</v>
      </c>
      <c r="V49" s="46">
        <f>VLOOKUP(tblRiskRegister[[#This Row],[Asset Class]],tblImpactIndex[],3,FALSE)</f>
        <v>0</v>
      </c>
      <c r="W49" s="46">
        <f>VLOOKUP(tblRiskRegister[[#This Row],[Asset Class]],tblImpactIndex[],4,FALSE)</f>
        <v>0</v>
      </c>
      <c r="X49" s="46" t="str">
        <f>IFERROR(MAX(tblRiskRegister[[#This Row],[Risk Treatment Safeguard Impact to Mission]:[Risk Treatment Safeguard Impact to Obligations]])*tblRiskRegister[[#This Row],[Risk Treatment
Safeguard Expectancy Score]],"")</f>
        <v/>
      </c>
      <c r="Y49" s="46" t="str">
        <f>IF(tblRiskRegister[[#This Row],[Risk Score]]&gt;5,IF(tblRiskRegister[[#This Row],[Risk Treatment Safeguard Risk Score]]&lt;6, IF(tblRiskRegister[[#This Row],[Risk Treatment Safeguard Risk Score]]&lt;=tblRiskRegister[[#This Row],[Risk Score]],"Yes","No"),"No"),"Yes")</f>
        <v>No</v>
      </c>
      <c r="Z49" s="26"/>
      <c r="AA49" s="26"/>
      <c r="AB49" s="27"/>
    </row>
    <row r="50" spans="2:28" ht="102" x14ac:dyDescent="0.2">
      <c r="B50" s="22">
        <v>9.4</v>
      </c>
      <c r="C50" s="23" t="s">
        <v>85</v>
      </c>
      <c r="D50" s="233" t="s">
        <v>451</v>
      </c>
      <c r="E50" s="172" t="s">
        <v>149</v>
      </c>
      <c r="F50" s="25"/>
      <c r="G50" s="45">
        <f>IFERROR(VLOOKUP(tblRiskRegister[[#This Row],[Asset Class]],tblVCDBIndex[],4,FALSE),"")</f>
        <v>1</v>
      </c>
      <c r="H50" s="45" t="str">
        <f>IFERROR(VLOOKUP(10*tblRiskRegister[[#This Row],[Safeguard Maturity Score]]+tblRiskRegister[[#This Row],[VCDB Index]],tblHITIndexWeightTable[],4,FALSE),"")</f>
        <v/>
      </c>
      <c r="I50" s="45">
        <f>VLOOKUP(tblRiskRegister[[#This Row],[Asset Class]],tblImpactIndex[],2,FALSE)</f>
        <v>0</v>
      </c>
      <c r="J50" s="45">
        <f>VLOOKUP(tblRiskRegister[[#This Row],[Asset Class]],tblImpactIndex[],3,FALSE)</f>
        <v>0</v>
      </c>
      <c r="K50" s="45">
        <f>VLOOKUP(tblRiskRegister[[#This Row],[Asset Class]],tblImpactIndex[],4,FALSE)</f>
        <v>0</v>
      </c>
      <c r="L50" s="45" t="str">
        <f>IFERROR(MAX(tblRiskRegister[[#This Row],[Impact to Mission]:[Impact to Obligations]])*tblRiskRegister[[#This Row],[Expectancy Score]],"")</f>
        <v/>
      </c>
      <c r="M50" s="45" t="str">
        <f>tblRiskRegister[[#This Row],[Risk Score]]</f>
        <v/>
      </c>
      <c r="N50" s="203"/>
      <c r="O50" s="37">
        <v>9.4</v>
      </c>
      <c r="P50" s="24" t="s">
        <v>85</v>
      </c>
      <c r="Q50" s="24" t="s">
        <v>186</v>
      </c>
      <c r="R50" s="24"/>
      <c r="S50" s="25"/>
      <c r="T50" s="46" t="str">
        <f>IFERROR(VLOOKUP(10*tblRiskRegister[[#This Row],[Risk Treatment Safeguard Maturity Score]]+tblRiskRegister[[#This Row],[VCDB Index]],tblHITIndexWeightTable[],4,FALSE),"")</f>
        <v/>
      </c>
      <c r="U50" s="46">
        <f>VLOOKUP(tblRiskRegister[[#This Row],[Asset Class]],tblImpactIndex[],2,FALSE)</f>
        <v>0</v>
      </c>
      <c r="V50" s="46">
        <f>VLOOKUP(tblRiskRegister[[#This Row],[Asset Class]],tblImpactIndex[],3,FALSE)</f>
        <v>0</v>
      </c>
      <c r="W50" s="46">
        <f>VLOOKUP(tblRiskRegister[[#This Row],[Asset Class]],tblImpactIndex[],4,FALSE)</f>
        <v>0</v>
      </c>
      <c r="X50" s="46" t="str">
        <f>IFERROR(MAX(tblRiskRegister[[#This Row],[Risk Treatment Safeguard Impact to Mission]:[Risk Treatment Safeguard Impact to Obligations]])*tblRiskRegister[[#This Row],[Risk Treatment
Safeguard Expectancy Score]],"")</f>
        <v/>
      </c>
      <c r="Y50" s="46" t="str">
        <f>IF(tblRiskRegister[[#This Row],[Risk Score]]&gt;5,IF(tblRiskRegister[[#This Row],[Risk Treatment Safeguard Risk Score]]&lt;6, IF(tblRiskRegister[[#This Row],[Risk Treatment Safeguard Risk Score]]&lt;=tblRiskRegister[[#This Row],[Risk Score]],"Yes","No"),"No"),"Yes")</f>
        <v>No</v>
      </c>
      <c r="Z50" s="26"/>
      <c r="AA50" s="26"/>
      <c r="AB50" s="27"/>
    </row>
    <row r="51" spans="2:28" ht="51" x14ac:dyDescent="0.2">
      <c r="B51" s="22">
        <v>10.1</v>
      </c>
      <c r="C51" s="23" t="s">
        <v>86</v>
      </c>
      <c r="D51" s="233" t="s">
        <v>451</v>
      </c>
      <c r="E51" s="172" t="s">
        <v>146</v>
      </c>
      <c r="F51" s="25"/>
      <c r="G51" s="45">
        <f>IFERROR(VLOOKUP(tblRiskRegister[[#This Row],[Asset Class]],tblVCDBIndex[],4,FALSE),"")</f>
        <v>3</v>
      </c>
      <c r="H51" s="45" t="str">
        <f>IFERROR(VLOOKUP(10*tblRiskRegister[[#This Row],[Safeguard Maturity Score]]+tblRiskRegister[[#This Row],[VCDB Index]],tblHITIndexWeightTable[],4,FALSE),"")</f>
        <v/>
      </c>
      <c r="I51" s="45">
        <f>VLOOKUP(tblRiskRegister[[#This Row],[Asset Class]],tblImpactIndex[],2,FALSE)</f>
        <v>0</v>
      </c>
      <c r="J51" s="45">
        <f>VLOOKUP(tblRiskRegister[[#This Row],[Asset Class]],tblImpactIndex[],3,FALSE)</f>
        <v>0</v>
      </c>
      <c r="K51" s="45">
        <f>VLOOKUP(tblRiskRegister[[#This Row],[Asset Class]],tblImpactIndex[],4,FALSE)</f>
        <v>0</v>
      </c>
      <c r="L51" s="45" t="str">
        <f>IFERROR(MAX(tblRiskRegister[[#This Row],[Impact to Mission]:[Impact to Obligations]])*tblRiskRegister[[#This Row],[Expectancy Score]],"")</f>
        <v/>
      </c>
      <c r="M51" s="45" t="str">
        <f>tblRiskRegister[[#This Row],[Risk Score]]</f>
        <v/>
      </c>
      <c r="N51" s="203"/>
      <c r="O51" s="37">
        <v>10.1</v>
      </c>
      <c r="P51" s="24" t="s">
        <v>86</v>
      </c>
      <c r="Q51" s="24" t="s">
        <v>388</v>
      </c>
      <c r="R51" s="24"/>
      <c r="S51" s="25"/>
      <c r="T51" s="46" t="str">
        <f>IFERROR(VLOOKUP(10*tblRiskRegister[[#This Row],[Risk Treatment Safeguard Maturity Score]]+tblRiskRegister[[#This Row],[VCDB Index]],tblHITIndexWeightTable[],4,FALSE),"")</f>
        <v/>
      </c>
      <c r="U51" s="46">
        <f>VLOOKUP(tblRiskRegister[[#This Row],[Asset Class]],tblImpactIndex[],2,FALSE)</f>
        <v>0</v>
      </c>
      <c r="V51" s="46">
        <f>VLOOKUP(tblRiskRegister[[#This Row],[Asset Class]],tblImpactIndex[],3,FALSE)</f>
        <v>0</v>
      </c>
      <c r="W51" s="46">
        <f>VLOOKUP(tblRiskRegister[[#This Row],[Asset Class]],tblImpactIndex[],4,FALSE)</f>
        <v>0</v>
      </c>
      <c r="X51" s="46" t="str">
        <f>IFERROR(MAX(tblRiskRegister[[#This Row],[Risk Treatment Safeguard Impact to Mission]:[Risk Treatment Safeguard Impact to Obligations]])*tblRiskRegister[[#This Row],[Risk Treatment
Safeguard Expectancy Score]],"")</f>
        <v/>
      </c>
      <c r="Y51" s="46" t="str">
        <f>IF(tblRiskRegister[[#This Row],[Risk Score]]&gt;5,IF(tblRiskRegister[[#This Row],[Risk Treatment Safeguard Risk Score]]&lt;6, IF(tblRiskRegister[[#This Row],[Risk Treatment Safeguard Risk Score]]&lt;=tblRiskRegister[[#This Row],[Risk Score]],"Yes","No"),"No"),"Yes")</f>
        <v>No</v>
      </c>
      <c r="Z51" s="26"/>
      <c r="AA51" s="26"/>
      <c r="AB51" s="27"/>
    </row>
    <row r="52" spans="2:28" ht="102" x14ac:dyDescent="0.2">
      <c r="B52" s="22">
        <v>10.199999999999999</v>
      </c>
      <c r="C52" s="23" t="s">
        <v>28</v>
      </c>
      <c r="D52" s="233" t="s">
        <v>451</v>
      </c>
      <c r="E52" s="172" t="s">
        <v>146</v>
      </c>
      <c r="F52" s="25"/>
      <c r="G52" s="45">
        <f>IFERROR(VLOOKUP(tblRiskRegister[[#This Row],[Asset Class]],tblVCDBIndex[],4,FALSE),"")</f>
        <v>3</v>
      </c>
      <c r="H52" s="45" t="str">
        <f>IFERROR(VLOOKUP(10*tblRiskRegister[[#This Row],[Safeguard Maturity Score]]+tblRiskRegister[[#This Row],[VCDB Index]],tblHITIndexWeightTable[],4,FALSE),"")</f>
        <v/>
      </c>
      <c r="I52" s="45">
        <f>VLOOKUP(tblRiskRegister[[#This Row],[Asset Class]],tblImpactIndex[],2,FALSE)</f>
        <v>0</v>
      </c>
      <c r="J52" s="45">
        <f>VLOOKUP(tblRiskRegister[[#This Row],[Asset Class]],tblImpactIndex[],3,FALSE)</f>
        <v>0</v>
      </c>
      <c r="K52" s="45">
        <f>VLOOKUP(tblRiskRegister[[#This Row],[Asset Class]],tblImpactIndex[],4,FALSE)</f>
        <v>0</v>
      </c>
      <c r="L52" s="45" t="str">
        <f>IFERROR(MAX(tblRiskRegister[[#This Row],[Impact to Mission]:[Impact to Obligations]])*tblRiskRegister[[#This Row],[Expectancy Score]],"")</f>
        <v/>
      </c>
      <c r="M52" s="45" t="str">
        <f>tblRiskRegister[[#This Row],[Risk Score]]</f>
        <v/>
      </c>
      <c r="N52" s="203"/>
      <c r="O52" s="37">
        <v>10.199999999999999</v>
      </c>
      <c r="P52" s="24" t="s">
        <v>28</v>
      </c>
      <c r="Q52" s="24" t="s">
        <v>187</v>
      </c>
      <c r="R52" s="24"/>
      <c r="S52" s="25"/>
      <c r="T52" s="46" t="str">
        <f>IFERROR(VLOOKUP(10*tblRiskRegister[[#This Row],[Risk Treatment Safeguard Maturity Score]]+tblRiskRegister[[#This Row],[VCDB Index]],tblHITIndexWeightTable[],4,FALSE),"")</f>
        <v/>
      </c>
      <c r="U52" s="46">
        <f>VLOOKUP(tblRiskRegister[[#This Row],[Asset Class]],tblImpactIndex[],2,FALSE)</f>
        <v>0</v>
      </c>
      <c r="V52" s="46">
        <f>VLOOKUP(tblRiskRegister[[#This Row],[Asset Class]],tblImpactIndex[],3,FALSE)</f>
        <v>0</v>
      </c>
      <c r="W52" s="46">
        <f>VLOOKUP(tblRiskRegister[[#This Row],[Asset Class]],tblImpactIndex[],4,FALSE)</f>
        <v>0</v>
      </c>
      <c r="X52" s="46" t="str">
        <f>IFERROR(MAX(tblRiskRegister[[#This Row],[Risk Treatment Safeguard Impact to Mission]:[Risk Treatment Safeguard Impact to Obligations]])*tblRiskRegister[[#This Row],[Risk Treatment
Safeguard Expectancy Score]],"")</f>
        <v/>
      </c>
      <c r="Y52" s="46" t="str">
        <f>IF(tblRiskRegister[[#This Row],[Risk Score]]&gt;5,IF(tblRiskRegister[[#This Row],[Risk Treatment Safeguard Risk Score]]&lt;6, IF(tblRiskRegister[[#This Row],[Risk Treatment Safeguard Risk Score]]&lt;=tblRiskRegister[[#This Row],[Risk Score]],"Yes","No"),"No"),"Yes")</f>
        <v>No</v>
      </c>
      <c r="Z52" s="26"/>
      <c r="AA52" s="26"/>
      <c r="AB52" s="27"/>
    </row>
    <row r="53" spans="2:28" ht="114.75" x14ac:dyDescent="0.2">
      <c r="B53" s="22">
        <v>10.4</v>
      </c>
      <c r="C53" s="23" t="s">
        <v>87</v>
      </c>
      <c r="D53" s="233" t="s">
        <v>451</v>
      </c>
      <c r="E53" s="172" t="s">
        <v>146</v>
      </c>
      <c r="F53" s="25"/>
      <c r="G53" s="45">
        <f>IFERROR(VLOOKUP(tblRiskRegister[[#This Row],[Asset Class]],tblVCDBIndex[],4,FALSE),"")</f>
        <v>3</v>
      </c>
      <c r="H53" s="45" t="str">
        <f>IFERROR(VLOOKUP(10*tblRiskRegister[[#This Row],[Safeguard Maturity Score]]+tblRiskRegister[[#This Row],[VCDB Index]],tblHITIndexWeightTable[],4,FALSE),"")</f>
        <v/>
      </c>
      <c r="I53" s="45">
        <f>VLOOKUP(tblRiskRegister[[#This Row],[Asset Class]],tblImpactIndex[],2,FALSE)</f>
        <v>0</v>
      </c>
      <c r="J53" s="45">
        <f>VLOOKUP(tblRiskRegister[[#This Row],[Asset Class]],tblImpactIndex[],3,FALSE)</f>
        <v>0</v>
      </c>
      <c r="K53" s="45">
        <f>VLOOKUP(tblRiskRegister[[#This Row],[Asset Class]],tblImpactIndex[],4,FALSE)</f>
        <v>0</v>
      </c>
      <c r="L53" s="45" t="str">
        <f>IFERROR(MAX(tblRiskRegister[[#This Row],[Impact to Mission]:[Impact to Obligations]])*tblRiskRegister[[#This Row],[Expectancy Score]],"")</f>
        <v/>
      </c>
      <c r="M53" s="45" t="str">
        <f>tblRiskRegister[[#This Row],[Risk Score]]</f>
        <v/>
      </c>
      <c r="N53" s="203"/>
      <c r="O53" s="37">
        <v>10.4</v>
      </c>
      <c r="P53" s="24" t="s">
        <v>87</v>
      </c>
      <c r="Q53" s="24" t="s">
        <v>188</v>
      </c>
      <c r="R53" s="24"/>
      <c r="S53" s="25"/>
      <c r="T53" s="46" t="str">
        <f>IFERROR(VLOOKUP(10*tblRiskRegister[[#This Row],[Risk Treatment Safeguard Maturity Score]]+tblRiskRegister[[#This Row],[VCDB Index]],tblHITIndexWeightTable[],4,FALSE),"")</f>
        <v/>
      </c>
      <c r="U53" s="46">
        <f>VLOOKUP(tblRiskRegister[[#This Row],[Asset Class]],tblImpactIndex[],2,FALSE)</f>
        <v>0</v>
      </c>
      <c r="V53" s="46">
        <f>VLOOKUP(tblRiskRegister[[#This Row],[Asset Class]],tblImpactIndex[],3,FALSE)</f>
        <v>0</v>
      </c>
      <c r="W53" s="46">
        <f>VLOOKUP(tblRiskRegister[[#This Row],[Asset Class]],tblImpactIndex[],4,FALSE)</f>
        <v>0</v>
      </c>
      <c r="X53" s="46" t="str">
        <f>IFERROR(MAX(tblRiskRegister[[#This Row],[Risk Treatment Safeguard Impact to Mission]:[Risk Treatment Safeguard Impact to Obligations]])*tblRiskRegister[[#This Row],[Risk Treatment
Safeguard Expectancy Score]],"")</f>
        <v/>
      </c>
      <c r="Y53" s="46" t="str">
        <f>IF(tblRiskRegister[[#This Row],[Risk Score]]&gt;5,IF(tblRiskRegister[[#This Row],[Risk Treatment Safeguard Risk Score]]&lt;6, IF(tblRiskRegister[[#This Row],[Risk Treatment Safeguard Risk Score]]&lt;=tblRiskRegister[[#This Row],[Risk Score]],"Yes","No"),"No"),"Yes")</f>
        <v>No</v>
      </c>
      <c r="Z53" s="26"/>
      <c r="AA53" s="26"/>
      <c r="AB53" s="27"/>
    </row>
    <row r="54" spans="2:28" ht="76.5" x14ac:dyDescent="0.2">
      <c r="B54" s="22">
        <v>10.5</v>
      </c>
      <c r="C54" s="23" t="s">
        <v>88</v>
      </c>
      <c r="D54" s="233" t="s">
        <v>451</v>
      </c>
      <c r="E54" s="172" t="s">
        <v>146</v>
      </c>
      <c r="F54" s="25"/>
      <c r="G54" s="45">
        <f>IFERROR(VLOOKUP(tblRiskRegister[[#This Row],[Asset Class]],tblVCDBIndex[],4,FALSE),"")</f>
        <v>3</v>
      </c>
      <c r="H54" s="45" t="str">
        <f>IFERROR(VLOOKUP(10*tblRiskRegister[[#This Row],[Safeguard Maturity Score]]+tblRiskRegister[[#This Row],[VCDB Index]],tblHITIndexWeightTable[],4,FALSE),"")</f>
        <v/>
      </c>
      <c r="I54" s="45">
        <f>VLOOKUP(tblRiskRegister[[#This Row],[Asset Class]],tblImpactIndex[],2,FALSE)</f>
        <v>0</v>
      </c>
      <c r="J54" s="45">
        <f>VLOOKUP(tblRiskRegister[[#This Row],[Asset Class]],tblImpactIndex[],3,FALSE)</f>
        <v>0</v>
      </c>
      <c r="K54" s="45">
        <f>VLOOKUP(tblRiskRegister[[#This Row],[Asset Class]],tblImpactIndex[],4,FALSE)</f>
        <v>0</v>
      </c>
      <c r="L54" s="45" t="str">
        <f>IFERROR(MAX(tblRiskRegister[[#This Row],[Impact to Mission]:[Impact to Obligations]])*tblRiskRegister[[#This Row],[Expectancy Score]],"")</f>
        <v/>
      </c>
      <c r="M54" s="45" t="str">
        <f>tblRiskRegister[[#This Row],[Risk Score]]</f>
        <v/>
      </c>
      <c r="N54" s="203"/>
      <c r="O54" s="37">
        <v>10.5</v>
      </c>
      <c r="P54" s="24" t="s">
        <v>88</v>
      </c>
      <c r="Q54" s="24" t="s">
        <v>189</v>
      </c>
      <c r="R54" s="24"/>
      <c r="S54" s="25"/>
      <c r="T54" s="46" t="str">
        <f>IFERROR(VLOOKUP(10*tblRiskRegister[[#This Row],[Risk Treatment Safeguard Maturity Score]]+tblRiskRegister[[#This Row],[VCDB Index]],tblHITIndexWeightTable[],4,FALSE),"")</f>
        <v/>
      </c>
      <c r="U54" s="46">
        <f>VLOOKUP(tblRiskRegister[[#This Row],[Asset Class]],tblImpactIndex[],2,FALSE)</f>
        <v>0</v>
      </c>
      <c r="V54" s="46">
        <f>VLOOKUP(tblRiskRegister[[#This Row],[Asset Class]],tblImpactIndex[],3,FALSE)</f>
        <v>0</v>
      </c>
      <c r="W54" s="46">
        <f>VLOOKUP(tblRiskRegister[[#This Row],[Asset Class]],tblImpactIndex[],4,FALSE)</f>
        <v>0</v>
      </c>
      <c r="X54" s="46" t="str">
        <f>IFERROR(MAX(tblRiskRegister[[#This Row],[Risk Treatment Safeguard Impact to Mission]:[Risk Treatment Safeguard Impact to Obligations]])*tblRiskRegister[[#This Row],[Risk Treatment
Safeguard Expectancy Score]],"")</f>
        <v/>
      </c>
      <c r="Y54" s="46" t="str">
        <f>IF(tblRiskRegister[[#This Row],[Risk Score]]&gt;5,IF(tblRiskRegister[[#This Row],[Risk Treatment Safeguard Risk Score]]&lt;6, IF(tblRiskRegister[[#This Row],[Risk Treatment Safeguard Risk Score]]&lt;=tblRiskRegister[[#This Row],[Risk Score]],"Yes","No"),"No"),"Yes")</f>
        <v>No</v>
      </c>
      <c r="Z54" s="26"/>
      <c r="AA54" s="26"/>
      <c r="AB54" s="27"/>
    </row>
    <row r="55" spans="2:28" ht="63.75" x14ac:dyDescent="0.2">
      <c r="B55" s="22">
        <v>11.4</v>
      </c>
      <c r="C55" s="23" t="s">
        <v>89</v>
      </c>
      <c r="D55" s="233" t="s">
        <v>451</v>
      </c>
      <c r="E55" s="172" t="s">
        <v>149</v>
      </c>
      <c r="F55" s="25"/>
      <c r="G55" s="45">
        <f>IFERROR(VLOOKUP(tblRiskRegister[[#This Row],[Asset Class]],tblVCDBIndex[],4,FALSE),"")</f>
        <v>1</v>
      </c>
      <c r="H55" s="45" t="str">
        <f>IFERROR(VLOOKUP(10*tblRiskRegister[[#This Row],[Safeguard Maturity Score]]+tblRiskRegister[[#This Row],[VCDB Index]],tblHITIndexWeightTable[],4,FALSE),"")</f>
        <v/>
      </c>
      <c r="I55" s="45">
        <f>VLOOKUP(tblRiskRegister[[#This Row],[Asset Class]],tblImpactIndex[],2,FALSE)</f>
        <v>0</v>
      </c>
      <c r="J55" s="45">
        <f>VLOOKUP(tblRiskRegister[[#This Row],[Asset Class]],tblImpactIndex[],3,FALSE)</f>
        <v>0</v>
      </c>
      <c r="K55" s="45">
        <f>VLOOKUP(tblRiskRegister[[#This Row],[Asset Class]],tblImpactIndex[],4,FALSE)</f>
        <v>0</v>
      </c>
      <c r="L55" s="45" t="str">
        <f>IFERROR(MAX(tblRiskRegister[[#This Row],[Impact to Mission]:[Impact to Obligations]])*tblRiskRegister[[#This Row],[Expectancy Score]],"")</f>
        <v/>
      </c>
      <c r="M55" s="45" t="str">
        <f>tblRiskRegister[[#This Row],[Risk Score]]</f>
        <v/>
      </c>
      <c r="N55" s="203"/>
      <c r="O55" s="37">
        <v>11.4</v>
      </c>
      <c r="P55" s="24" t="s">
        <v>89</v>
      </c>
      <c r="Q55" s="24" t="s">
        <v>190</v>
      </c>
      <c r="R55" s="24"/>
      <c r="S55" s="25"/>
      <c r="T55" s="46" t="str">
        <f>IFERROR(VLOOKUP(10*tblRiskRegister[[#This Row],[Risk Treatment Safeguard Maturity Score]]+tblRiskRegister[[#This Row],[VCDB Index]],tblHITIndexWeightTable[],4,FALSE),"")</f>
        <v/>
      </c>
      <c r="U55" s="46">
        <f>VLOOKUP(tblRiskRegister[[#This Row],[Asset Class]],tblImpactIndex[],2,FALSE)</f>
        <v>0</v>
      </c>
      <c r="V55" s="46">
        <f>VLOOKUP(tblRiskRegister[[#This Row],[Asset Class]],tblImpactIndex[],3,FALSE)</f>
        <v>0</v>
      </c>
      <c r="W55" s="46">
        <f>VLOOKUP(tblRiskRegister[[#This Row],[Asset Class]],tblImpactIndex[],4,FALSE)</f>
        <v>0</v>
      </c>
      <c r="X55" s="46" t="str">
        <f>IFERROR(MAX(tblRiskRegister[[#This Row],[Risk Treatment Safeguard Impact to Mission]:[Risk Treatment Safeguard Impact to Obligations]])*tblRiskRegister[[#This Row],[Risk Treatment
Safeguard Expectancy Score]],"")</f>
        <v/>
      </c>
      <c r="Y55" s="46" t="str">
        <f>IF(tblRiskRegister[[#This Row],[Risk Score]]&gt;5,IF(tblRiskRegister[[#This Row],[Risk Treatment Safeguard Risk Score]]&lt;6, IF(tblRiskRegister[[#This Row],[Risk Treatment Safeguard Risk Score]]&lt;=tblRiskRegister[[#This Row],[Risk Score]],"Yes","No"),"No"),"Yes")</f>
        <v>No</v>
      </c>
      <c r="Z55" s="26"/>
      <c r="AA55" s="26"/>
      <c r="AB55" s="27"/>
    </row>
    <row r="56" spans="2:28" ht="51" x14ac:dyDescent="0.2">
      <c r="B56" s="22">
        <v>12.1</v>
      </c>
      <c r="C56" s="23" t="s">
        <v>29</v>
      </c>
      <c r="D56" s="233" t="s">
        <v>449</v>
      </c>
      <c r="E56" s="172" t="s">
        <v>149</v>
      </c>
      <c r="F56" s="25"/>
      <c r="G56" s="45">
        <f>IFERROR(VLOOKUP(tblRiskRegister[[#This Row],[Asset Class]],tblVCDBIndex[],4,FALSE),"")</f>
        <v>1</v>
      </c>
      <c r="H56" s="45" t="str">
        <f>IFERROR(VLOOKUP(10*tblRiskRegister[[#This Row],[Safeguard Maturity Score]]+tblRiskRegister[[#This Row],[VCDB Index]],tblHITIndexWeightTable[],4,FALSE),"")</f>
        <v/>
      </c>
      <c r="I56" s="45">
        <f>VLOOKUP(tblRiskRegister[[#This Row],[Asset Class]],tblImpactIndex[],2,FALSE)</f>
        <v>0</v>
      </c>
      <c r="J56" s="45">
        <f>VLOOKUP(tblRiskRegister[[#This Row],[Asset Class]],tblImpactIndex[],3,FALSE)</f>
        <v>0</v>
      </c>
      <c r="K56" s="45">
        <f>VLOOKUP(tblRiskRegister[[#This Row],[Asset Class]],tblImpactIndex[],4,FALSE)</f>
        <v>0</v>
      </c>
      <c r="L56" s="45" t="str">
        <f>IFERROR(MAX(tblRiskRegister[[#This Row],[Impact to Mission]:[Impact to Obligations]])*tblRiskRegister[[#This Row],[Expectancy Score]],"")</f>
        <v/>
      </c>
      <c r="M56" s="45" t="str">
        <f>tblRiskRegister[[#This Row],[Risk Score]]</f>
        <v/>
      </c>
      <c r="N56" s="203"/>
      <c r="O56" s="37">
        <v>12.1</v>
      </c>
      <c r="P56" s="24" t="s">
        <v>29</v>
      </c>
      <c r="Q56" s="24" t="s">
        <v>191</v>
      </c>
      <c r="R56" s="24"/>
      <c r="S56" s="25"/>
      <c r="T56" s="46" t="str">
        <f>IFERROR(VLOOKUP(10*tblRiskRegister[[#This Row],[Risk Treatment Safeguard Maturity Score]]+tblRiskRegister[[#This Row],[VCDB Index]],tblHITIndexWeightTable[],4,FALSE),"")</f>
        <v/>
      </c>
      <c r="U56" s="46">
        <f>VLOOKUP(tblRiskRegister[[#This Row],[Asset Class]],tblImpactIndex[],2,FALSE)</f>
        <v>0</v>
      </c>
      <c r="V56" s="46">
        <f>VLOOKUP(tblRiskRegister[[#This Row],[Asset Class]],tblImpactIndex[],3,FALSE)</f>
        <v>0</v>
      </c>
      <c r="W56" s="46">
        <f>VLOOKUP(tblRiskRegister[[#This Row],[Asset Class]],tblImpactIndex[],4,FALSE)</f>
        <v>0</v>
      </c>
      <c r="X56" s="46" t="str">
        <f>IFERROR(MAX(tblRiskRegister[[#This Row],[Risk Treatment Safeguard Impact to Mission]:[Risk Treatment Safeguard Impact to Obligations]])*tblRiskRegister[[#This Row],[Risk Treatment
Safeguard Expectancy Score]],"")</f>
        <v/>
      </c>
      <c r="Y56" s="46" t="str">
        <f>IF(tblRiskRegister[[#This Row],[Risk Score]]&gt;5,IF(tblRiskRegister[[#This Row],[Risk Treatment Safeguard Risk Score]]&lt;6, IF(tblRiskRegister[[#This Row],[Risk Treatment Safeguard Risk Score]]&lt;=tblRiskRegister[[#This Row],[Risk Score]],"Yes","No"),"No"),"Yes")</f>
        <v>No</v>
      </c>
      <c r="Z56" s="26"/>
      <c r="AA56" s="26"/>
      <c r="AB56" s="27"/>
    </row>
    <row r="57" spans="2:28" ht="127.5" x14ac:dyDescent="0.2">
      <c r="B57" s="22">
        <v>12.4</v>
      </c>
      <c r="C57" s="23" t="s">
        <v>90</v>
      </c>
      <c r="D57" s="233" t="s">
        <v>451</v>
      </c>
      <c r="E57" s="172" t="s">
        <v>149</v>
      </c>
      <c r="F57" s="25"/>
      <c r="G57" s="45">
        <f>IFERROR(VLOOKUP(tblRiskRegister[[#This Row],[Asset Class]],tblVCDBIndex[],4,FALSE),"")</f>
        <v>1</v>
      </c>
      <c r="H57" s="45" t="str">
        <f>IFERROR(VLOOKUP(10*tblRiskRegister[[#This Row],[Safeguard Maturity Score]]+tblRiskRegister[[#This Row],[VCDB Index]],tblHITIndexWeightTable[],4,FALSE),"")</f>
        <v/>
      </c>
      <c r="I57" s="45">
        <f>VLOOKUP(tblRiskRegister[[#This Row],[Asset Class]],tblImpactIndex[],2,FALSE)</f>
        <v>0</v>
      </c>
      <c r="J57" s="45">
        <f>VLOOKUP(tblRiskRegister[[#This Row],[Asset Class]],tblImpactIndex[],3,FALSE)</f>
        <v>0</v>
      </c>
      <c r="K57" s="45">
        <f>VLOOKUP(tblRiskRegister[[#This Row],[Asset Class]],tblImpactIndex[],4,FALSE)</f>
        <v>0</v>
      </c>
      <c r="L57" s="45" t="str">
        <f>IFERROR(MAX(tblRiskRegister[[#This Row],[Impact to Mission]:[Impact to Obligations]])*tblRiskRegister[[#This Row],[Expectancy Score]],"")</f>
        <v/>
      </c>
      <c r="M57" s="45" t="str">
        <f>tblRiskRegister[[#This Row],[Risk Score]]</f>
        <v/>
      </c>
      <c r="N57" s="203"/>
      <c r="O57" s="37">
        <v>12.4</v>
      </c>
      <c r="P57" s="24" t="s">
        <v>90</v>
      </c>
      <c r="Q57" s="24" t="s">
        <v>192</v>
      </c>
      <c r="R57" s="24"/>
      <c r="S57" s="25"/>
      <c r="T57" s="46" t="str">
        <f>IFERROR(VLOOKUP(10*tblRiskRegister[[#This Row],[Risk Treatment Safeguard Maturity Score]]+tblRiskRegister[[#This Row],[VCDB Index]],tblHITIndexWeightTable[],4,FALSE),"")</f>
        <v/>
      </c>
      <c r="U57" s="46">
        <f>VLOOKUP(tblRiskRegister[[#This Row],[Asset Class]],tblImpactIndex[],2,FALSE)</f>
        <v>0</v>
      </c>
      <c r="V57" s="46">
        <f>VLOOKUP(tblRiskRegister[[#This Row],[Asset Class]],tblImpactIndex[],3,FALSE)</f>
        <v>0</v>
      </c>
      <c r="W57" s="46">
        <f>VLOOKUP(tblRiskRegister[[#This Row],[Asset Class]],tblImpactIndex[],4,FALSE)</f>
        <v>0</v>
      </c>
      <c r="X57" s="46" t="str">
        <f>IFERROR(MAX(tblRiskRegister[[#This Row],[Risk Treatment Safeguard Impact to Mission]:[Risk Treatment Safeguard Impact to Obligations]])*tblRiskRegister[[#This Row],[Risk Treatment
Safeguard Expectancy Score]],"")</f>
        <v/>
      </c>
      <c r="Y57" s="46" t="str">
        <f>IF(tblRiskRegister[[#This Row],[Risk Score]]&gt;5,IF(tblRiskRegister[[#This Row],[Risk Treatment Safeguard Risk Score]]&lt;6, IF(tblRiskRegister[[#This Row],[Risk Treatment Safeguard Risk Score]]&lt;=tblRiskRegister[[#This Row],[Risk Score]],"Yes","No"),"No"),"Yes")</f>
        <v>No</v>
      </c>
      <c r="Z57" s="26"/>
      <c r="AA57" s="26"/>
      <c r="AB57" s="27"/>
    </row>
    <row r="58" spans="2:28" ht="102" x14ac:dyDescent="0.2">
      <c r="B58" s="22">
        <v>13.1</v>
      </c>
      <c r="C58" s="23" t="s">
        <v>91</v>
      </c>
      <c r="D58" s="233" t="s">
        <v>449</v>
      </c>
      <c r="E58" s="172" t="s">
        <v>146</v>
      </c>
      <c r="F58" s="25"/>
      <c r="G58" s="45">
        <f>IFERROR(VLOOKUP(tblRiskRegister[[#This Row],[Asset Class]],tblVCDBIndex[],4,FALSE),"")</f>
        <v>3</v>
      </c>
      <c r="H58" s="45" t="str">
        <f>IFERROR(VLOOKUP(10*tblRiskRegister[[#This Row],[Safeguard Maturity Score]]+tblRiskRegister[[#This Row],[VCDB Index]],tblHITIndexWeightTable[],4,FALSE),"")</f>
        <v/>
      </c>
      <c r="I58" s="45">
        <f>VLOOKUP(tblRiskRegister[[#This Row],[Asset Class]],tblImpactIndex[],2,FALSE)</f>
        <v>0</v>
      </c>
      <c r="J58" s="45">
        <f>VLOOKUP(tblRiskRegister[[#This Row],[Asset Class]],tblImpactIndex[],3,FALSE)</f>
        <v>0</v>
      </c>
      <c r="K58" s="45">
        <f>VLOOKUP(tblRiskRegister[[#This Row],[Asset Class]],tblImpactIndex[],4,FALSE)</f>
        <v>0</v>
      </c>
      <c r="L58" s="45" t="str">
        <f>IFERROR(MAX(tblRiskRegister[[#This Row],[Impact to Mission]:[Impact to Obligations]])*tblRiskRegister[[#This Row],[Expectancy Score]],"")</f>
        <v/>
      </c>
      <c r="M58" s="45" t="str">
        <f>tblRiskRegister[[#This Row],[Risk Score]]</f>
        <v/>
      </c>
      <c r="N58" s="203"/>
      <c r="O58" s="37">
        <v>13.1</v>
      </c>
      <c r="P58" s="24" t="s">
        <v>91</v>
      </c>
      <c r="Q58" s="24" t="s">
        <v>193</v>
      </c>
      <c r="R58" s="24"/>
      <c r="S58" s="25"/>
      <c r="T58" s="46" t="str">
        <f>IFERROR(VLOOKUP(10*tblRiskRegister[[#This Row],[Risk Treatment Safeguard Maturity Score]]+tblRiskRegister[[#This Row],[VCDB Index]],tblHITIndexWeightTable[],4,FALSE),"")</f>
        <v/>
      </c>
      <c r="U58" s="46">
        <f>VLOOKUP(tblRiskRegister[[#This Row],[Asset Class]],tblImpactIndex[],2,FALSE)</f>
        <v>0</v>
      </c>
      <c r="V58" s="46">
        <f>VLOOKUP(tblRiskRegister[[#This Row],[Asset Class]],tblImpactIndex[],3,FALSE)</f>
        <v>0</v>
      </c>
      <c r="W58" s="46">
        <f>VLOOKUP(tblRiskRegister[[#This Row],[Asset Class]],tblImpactIndex[],4,FALSE)</f>
        <v>0</v>
      </c>
      <c r="X58" s="46" t="str">
        <f>IFERROR(MAX(tblRiskRegister[[#This Row],[Risk Treatment Safeguard Impact to Mission]:[Risk Treatment Safeguard Impact to Obligations]])*tblRiskRegister[[#This Row],[Risk Treatment
Safeguard Expectancy Score]],"")</f>
        <v/>
      </c>
      <c r="Y58" s="46" t="str">
        <f>IF(tblRiskRegister[[#This Row],[Risk Score]]&gt;5,IF(tblRiskRegister[[#This Row],[Risk Treatment Safeguard Risk Score]]&lt;6, IF(tblRiskRegister[[#This Row],[Risk Treatment Safeguard Risk Score]]&lt;=tblRiskRegister[[#This Row],[Risk Score]],"Yes","No"),"No"),"Yes")</f>
        <v>No</v>
      </c>
      <c r="Z58" s="26"/>
      <c r="AA58" s="26"/>
      <c r="AB58" s="27"/>
    </row>
    <row r="59" spans="2:28" ht="178.5" x14ac:dyDescent="0.2">
      <c r="B59" s="22">
        <v>13.2</v>
      </c>
      <c r="C59" s="23" t="s">
        <v>30</v>
      </c>
      <c r="D59" s="233" t="s">
        <v>451</v>
      </c>
      <c r="E59" s="172" t="s">
        <v>146</v>
      </c>
      <c r="F59" s="25"/>
      <c r="G59" s="45">
        <f>IFERROR(VLOOKUP(tblRiskRegister[[#This Row],[Asset Class]],tblVCDBIndex[],4,FALSE),"")</f>
        <v>3</v>
      </c>
      <c r="H59" s="45" t="str">
        <f>IFERROR(VLOOKUP(10*tblRiskRegister[[#This Row],[Safeguard Maturity Score]]+tblRiskRegister[[#This Row],[VCDB Index]],tblHITIndexWeightTable[],4,FALSE),"")</f>
        <v/>
      </c>
      <c r="I59" s="45">
        <f>VLOOKUP(tblRiskRegister[[#This Row],[Asset Class]],tblImpactIndex[],2,FALSE)</f>
        <v>0</v>
      </c>
      <c r="J59" s="45">
        <f>VLOOKUP(tblRiskRegister[[#This Row],[Asset Class]],tblImpactIndex[],3,FALSE)</f>
        <v>0</v>
      </c>
      <c r="K59" s="45">
        <f>VLOOKUP(tblRiskRegister[[#This Row],[Asset Class]],tblImpactIndex[],4,FALSE)</f>
        <v>0</v>
      </c>
      <c r="L59" s="45" t="str">
        <f>IFERROR(MAX(tblRiskRegister[[#This Row],[Impact to Mission]:[Impact to Obligations]])*tblRiskRegister[[#This Row],[Expectancy Score]],"")</f>
        <v/>
      </c>
      <c r="M59" s="45" t="str">
        <f>tblRiskRegister[[#This Row],[Risk Score]]</f>
        <v/>
      </c>
      <c r="N59" s="203"/>
      <c r="O59" s="37">
        <v>13.2</v>
      </c>
      <c r="P59" s="24" t="s">
        <v>30</v>
      </c>
      <c r="Q59" s="24" t="s">
        <v>194</v>
      </c>
      <c r="R59" s="24"/>
      <c r="S59" s="25"/>
      <c r="T59" s="46" t="str">
        <f>IFERROR(VLOOKUP(10*tblRiskRegister[[#This Row],[Risk Treatment Safeguard Maturity Score]]+tblRiskRegister[[#This Row],[VCDB Index]],tblHITIndexWeightTable[],4,FALSE),"")</f>
        <v/>
      </c>
      <c r="U59" s="46">
        <f>VLOOKUP(tblRiskRegister[[#This Row],[Asset Class]],tblImpactIndex[],2,FALSE)</f>
        <v>0</v>
      </c>
      <c r="V59" s="46">
        <f>VLOOKUP(tblRiskRegister[[#This Row],[Asset Class]],tblImpactIndex[],3,FALSE)</f>
        <v>0</v>
      </c>
      <c r="W59" s="46">
        <f>VLOOKUP(tblRiskRegister[[#This Row],[Asset Class]],tblImpactIndex[],4,FALSE)</f>
        <v>0</v>
      </c>
      <c r="X59" s="46" t="str">
        <f>IFERROR(MAX(tblRiskRegister[[#This Row],[Risk Treatment Safeguard Impact to Mission]:[Risk Treatment Safeguard Impact to Obligations]])*tblRiskRegister[[#This Row],[Risk Treatment
Safeguard Expectancy Score]],"")</f>
        <v/>
      </c>
      <c r="Y59" s="46" t="str">
        <f>IF(tblRiskRegister[[#This Row],[Risk Score]]&gt;5,IF(tblRiskRegister[[#This Row],[Risk Treatment Safeguard Risk Score]]&lt;6, IF(tblRiskRegister[[#This Row],[Risk Treatment Safeguard Risk Score]]&lt;=tblRiskRegister[[#This Row],[Risk Score]],"Yes","No"),"No"),"Yes")</f>
        <v>No</v>
      </c>
      <c r="Z59" s="26"/>
      <c r="AA59" s="26"/>
      <c r="AB59" s="27"/>
    </row>
    <row r="60" spans="2:28" ht="51" x14ac:dyDescent="0.2">
      <c r="B60" s="22">
        <v>13.6</v>
      </c>
      <c r="C60" s="23" t="s">
        <v>92</v>
      </c>
      <c r="D60" s="233" t="s">
        <v>451</v>
      </c>
      <c r="E60" s="172" t="s">
        <v>147</v>
      </c>
      <c r="F60" s="25"/>
      <c r="G60" s="45">
        <f>IFERROR(VLOOKUP(tblRiskRegister[[#This Row],[Asset Class]],tblVCDBIndex[],4,FALSE),"")</f>
        <v>1</v>
      </c>
      <c r="H60" s="45" t="str">
        <f>IFERROR(VLOOKUP(10*tblRiskRegister[[#This Row],[Safeguard Maturity Score]]+tblRiskRegister[[#This Row],[VCDB Index]],tblHITIndexWeightTable[],4,FALSE),"")</f>
        <v/>
      </c>
      <c r="I60" s="45">
        <f>VLOOKUP(tblRiskRegister[[#This Row],[Asset Class]],tblImpactIndex[],2,FALSE)</f>
        <v>0</v>
      </c>
      <c r="J60" s="45">
        <f>VLOOKUP(tblRiskRegister[[#This Row],[Asset Class]],tblImpactIndex[],3,FALSE)</f>
        <v>0</v>
      </c>
      <c r="K60" s="45">
        <f>VLOOKUP(tblRiskRegister[[#This Row],[Asset Class]],tblImpactIndex[],4,FALSE)</f>
        <v>0</v>
      </c>
      <c r="L60" s="45" t="str">
        <f>IFERROR(MAX(tblRiskRegister[[#This Row],[Impact to Mission]:[Impact to Obligations]])*tblRiskRegister[[#This Row],[Expectancy Score]],"")</f>
        <v/>
      </c>
      <c r="M60" s="45" t="str">
        <f>tblRiskRegister[[#This Row],[Risk Score]]</f>
        <v/>
      </c>
      <c r="N60" s="203"/>
      <c r="O60" s="37">
        <v>13.6</v>
      </c>
      <c r="P60" s="24" t="s">
        <v>92</v>
      </c>
      <c r="Q60" s="24" t="s">
        <v>195</v>
      </c>
      <c r="R60" s="24"/>
      <c r="S60" s="25"/>
      <c r="T60" s="46" t="str">
        <f>IFERROR(VLOOKUP(10*tblRiskRegister[[#This Row],[Risk Treatment Safeguard Maturity Score]]+tblRiskRegister[[#This Row],[VCDB Index]],tblHITIndexWeightTable[],4,FALSE),"")</f>
        <v/>
      </c>
      <c r="U60" s="46">
        <f>VLOOKUP(tblRiskRegister[[#This Row],[Asset Class]],tblImpactIndex[],2,FALSE)</f>
        <v>0</v>
      </c>
      <c r="V60" s="46">
        <f>VLOOKUP(tblRiskRegister[[#This Row],[Asset Class]],tblImpactIndex[],3,FALSE)</f>
        <v>0</v>
      </c>
      <c r="W60" s="46">
        <f>VLOOKUP(tblRiskRegister[[#This Row],[Asset Class]],tblImpactIndex[],4,FALSE)</f>
        <v>0</v>
      </c>
      <c r="X60" s="46" t="str">
        <f>IFERROR(MAX(tblRiskRegister[[#This Row],[Risk Treatment Safeguard Impact to Mission]:[Risk Treatment Safeguard Impact to Obligations]])*tblRiskRegister[[#This Row],[Risk Treatment
Safeguard Expectancy Score]],"")</f>
        <v/>
      </c>
      <c r="Y60" s="46" t="str">
        <f>IF(tblRiskRegister[[#This Row],[Risk Score]]&gt;5,IF(tblRiskRegister[[#This Row],[Risk Treatment Safeguard Risk Score]]&lt;6, IF(tblRiskRegister[[#This Row],[Risk Treatment Safeguard Risk Score]]&lt;=tblRiskRegister[[#This Row],[Risk Score]],"Yes","No"),"No"),"Yes")</f>
        <v>No</v>
      </c>
      <c r="Z60" s="26"/>
      <c r="AA60" s="26"/>
      <c r="AB60" s="27"/>
    </row>
    <row r="61" spans="2:28" ht="191.25" x14ac:dyDescent="0.2">
      <c r="B61" s="22">
        <v>14.6</v>
      </c>
      <c r="C61" s="23" t="s">
        <v>93</v>
      </c>
      <c r="D61" s="233" t="s">
        <v>451</v>
      </c>
      <c r="E61" s="172" t="s">
        <v>146</v>
      </c>
      <c r="F61" s="25"/>
      <c r="G61" s="45">
        <f>IFERROR(VLOOKUP(tblRiskRegister[[#This Row],[Asset Class]],tblVCDBIndex[],4,FALSE),"")</f>
        <v>3</v>
      </c>
      <c r="H61" s="45" t="str">
        <f>IFERROR(VLOOKUP(10*tblRiskRegister[[#This Row],[Safeguard Maturity Score]]+tblRiskRegister[[#This Row],[VCDB Index]],tblHITIndexWeightTable[],4,FALSE),"")</f>
        <v/>
      </c>
      <c r="I61" s="45">
        <f>VLOOKUP(tblRiskRegister[[#This Row],[Asset Class]],tblImpactIndex[],2,FALSE)</f>
        <v>0</v>
      </c>
      <c r="J61" s="45">
        <f>VLOOKUP(tblRiskRegister[[#This Row],[Asset Class]],tblImpactIndex[],3,FALSE)</f>
        <v>0</v>
      </c>
      <c r="K61" s="45">
        <f>VLOOKUP(tblRiskRegister[[#This Row],[Asset Class]],tblImpactIndex[],4,FALSE)</f>
        <v>0</v>
      </c>
      <c r="L61" s="45" t="str">
        <f>IFERROR(MAX(tblRiskRegister[[#This Row],[Impact to Mission]:[Impact to Obligations]])*tblRiskRegister[[#This Row],[Expectancy Score]],"")</f>
        <v/>
      </c>
      <c r="M61" s="45" t="str">
        <f>tblRiskRegister[[#This Row],[Risk Score]]</f>
        <v/>
      </c>
      <c r="N61" s="203"/>
      <c r="O61" s="37">
        <v>14.6</v>
      </c>
      <c r="P61" s="24" t="s">
        <v>93</v>
      </c>
      <c r="Q61" s="24" t="s">
        <v>196</v>
      </c>
      <c r="R61" s="24"/>
      <c r="S61" s="25"/>
      <c r="T61" s="46" t="str">
        <f>IFERROR(VLOOKUP(10*tblRiskRegister[[#This Row],[Risk Treatment Safeguard Maturity Score]]+tblRiskRegister[[#This Row],[VCDB Index]],tblHITIndexWeightTable[],4,FALSE),"")</f>
        <v/>
      </c>
      <c r="U61" s="46">
        <f>VLOOKUP(tblRiskRegister[[#This Row],[Asset Class]],tblImpactIndex[],2,FALSE)</f>
        <v>0</v>
      </c>
      <c r="V61" s="46">
        <f>VLOOKUP(tblRiskRegister[[#This Row],[Asset Class]],tblImpactIndex[],3,FALSE)</f>
        <v>0</v>
      </c>
      <c r="W61" s="46">
        <f>VLOOKUP(tblRiskRegister[[#This Row],[Asset Class]],tblImpactIndex[],4,FALSE)</f>
        <v>0</v>
      </c>
      <c r="X61" s="46" t="str">
        <f>IFERROR(MAX(tblRiskRegister[[#This Row],[Risk Treatment Safeguard Impact to Mission]:[Risk Treatment Safeguard Impact to Obligations]])*tblRiskRegister[[#This Row],[Risk Treatment
Safeguard Expectancy Score]],"")</f>
        <v/>
      </c>
      <c r="Y61" s="46" t="str">
        <f>IF(tblRiskRegister[[#This Row],[Risk Score]]&gt;5,IF(tblRiskRegister[[#This Row],[Risk Treatment Safeguard Risk Score]]&lt;6, IF(tblRiskRegister[[#This Row],[Risk Treatment Safeguard Risk Score]]&lt;=tblRiskRegister[[#This Row],[Risk Score]],"Yes","No"),"No"),"Yes")</f>
        <v>No</v>
      </c>
      <c r="Z61" s="26"/>
      <c r="AA61" s="26"/>
      <c r="AB61" s="27"/>
    </row>
    <row r="62" spans="2:28" ht="51" x14ac:dyDescent="0.2">
      <c r="B62" s="22">
        <v>15.7</v>
      </c>
      <c r="C62" s="23" t="s">
        <v>31</v>
      </c>
      <c r="D62" s="233" t="s">
        <v>451</v>
      </c>
      <c r="E62" s="172" t="s">
        <v>149</v>
      </c>
      <c r="F62" s="25"/>
      <c r="G62" s="45">
        <f>IFERROR(VLOOKUP(tblRiskRegister[[#This Row],[Asset Class]],tblVCDBIndex[],4,FALSE),"")</f>
        <v>1</v>
      </c>
      <c r="H62" s="45" t="str">
        <f>IFERROR(VLOOKUP(10*tblRiskRegister[[#This Row],[Safeguard Maturity Score]]+tblRiskRegister[[#This Row],[VCDB Index]],tblHITIndexWeightTable[],4,FALSE),"")</f>
        <v/>
      </c>
      <c r="I62" s="45">
        <f>VLOOKUP(tblRiskRegister[[#This Row],[Asset Class]],tblImpactIndex[],2,FALSE)</f>
        <v>0</v>
      </c>
      <c r="J62" s="45">
        <f>VLOOKUP(tblRiskRegister[[#This Row],[Asset Class]],tblImpactIndex[],3,FALSE)</f>
        <v>0</v>
      </c>
      <c r="K62" s="45">
        <f>VLOOKUP(tblRiskRegister[[#This Row],[Asset Class]],tblImpactIndex[],4,FALSE)</f>
        <v>0</v>
      </c>
      <c r="L62" s="45" t="str">
        <f>IFERROR(MAX(tblRiskRegister[[#This Row],[Impact to Mission]:[Impact to Obligations]])*tblRiskRegister[[#This Row],[Expectancy Score]],"")</f>
        <v/>
      </c>
      <c r="M62" s="45" t="str">
        <f>tblRiskRegister[[#This Row],[Risk Score]]</f>
        <v/>
      </c>
      <c r="N62" s="203"/>
      <c r="O62" s="37">
        <v>15.7</v>
      </c>
      <c r="P62" s="24" t="s">
        <v>31</v>
      </c>
      <c r="Q62" s="24" t="s">
        <v>198</v>
      </c>
      <c r="R62" s="24"/>
      <c r="S62" s="25"/>
      <c r="T62" s="46" t="str">
        <f>IFERROR(VLOOKUP(10*tblRiskRegister[[#This Row],[Risk Treatment Safeguard Maturity Score]]+tblRiskRegister[[#This Row],[VCDB Index]],tblHITIndexWeightTable[],4,FALSE),"")</f>
        <v/>
      </c>
      <c r="U62" s="46">
        <f>VLOOKUP(tblRiskRegister[[#This Row],[Asset Class]],tblImpactIndex[],2,FALSE)</f>
        <v>0</v>
      </c>
      <c r="V62" s="46">
        <f>VLOOKUP(tblRiskRegister[[#This Row],[Asset Class]],tblImpactIndex[],3,FALSE)</f>
        <v>0</v>
      </c>
      <c r="W62" s="46">
        <f>VLOOKUP(tblRiskRegister[[#This Row],[Asset Class]],tblImpactIndex[],4,FALSE)</f>
        <v>0</v>
      </c>
      <c r="X62" s="46" t="str">
        <f>IFERROR(MAX(tblRiskRegister[[#This Row],[Risk Treatment Safeguard Impact to Mission]:[Risk Treatment Safeguard Impact to Obligations]])*tblRiskRegister[[#This Row],[Risk Treatment
Safeguard Expectancy Score]],"")</f>
        <v/>
      </c>
      <c r="Y62" s="46" t="str">
        <f>IF(tblRiskRegister[[#This Row],[Risk Score]]&gt;5,IF(tblRiskRegister[[#This Row],[Risk Treatment Safeguard Risk Score]]&lt;6, IF(tblRiskRegister[[#This Row],[Risk Treatment Safeguard Risk Score]]&lt;=tblRiskRegister[[#This Row],[Risk Score]],"Yes","No"),"No"),"Yes")</f>
        <v>No</v>
      </c>
      <c r="Z62" s="26"/>
      <c r="AA62" s="26"/>
      <c r="AB62" s="27"/>
    </row>
    <row r="63" spans="2:28" ht="51" x14ac:dyDescent="0.2">
      <c r="B63" s="82">
        <v>15.1</v>
      </c>
      <c r="C63" s="23" t="s">
        <v>32</v>
      </c>
      <c r="D63" s="233" t="s">
        <v>451</v>
      </c>
      <c r="E63" s="172" t="s">
        <v>149</v>
      </c>
      <c r="F63" s="25"/>
      <c r="G63" s="45">
        <f>IFERROR(VLOOKUP(tblRiskRegister[[#This Row],[Asset Class]],tblVCDBIndex[],4,FALSE),"")</f>
        <v>1</v>
      </c>
      <c r="H63" s="45" t="str">
        <f>IFERROR(VLOOKUP(10*tblRiskRegister[[#This Row],[Safeguard Maturity Score]]+tblRiskRegister[[#This Row],[VCDB Index]],tblHITIndexWeightTable[],4,FALSE),"")</f>
        <v/>
      </c>
      <c r="I63" s="45">
        <f>VLOOKUP(tblRiskRegister[[#This Row],[Asset Class]],tblImpactIndex[],2,FALSE)</f>
        <v>0</v>
      </c>
      <c r="J63" s="45">
        <f>VLOOKUP(tblRiskRegister[[#This Row],[Asset Class]],tblImpactIndex[],3,FALSE)</f>
        <v>0</v>
      </c>
      <c r="K63" s="45">
        <f>VLOOKUP(tblRiskRegister[[#This Row],[Asset Class]],tblImpactIndex[],4,FALSE)</f>
        <v>0</v>
      </c>
      <c r="L63" s="45" t="str">
        <f>IFERROR(MAX(tblRiskRegister[[#This Row],[Impact to Mission]:[Impact to Obligations]])*tblRiskRegister[[#This Row],[Expectancy Score]],"")</f>
        <v/>
      </c>
      <c r="M63" s="45" t="str">
        <f>tblRiskRegister[[#This Row],[Risk Score]]</f>
        <v/>
      </c>
      <c r="N63" s="203"/>
      <c r="O63" s="83">
        <v>15.1</v>
      </c>
      <c r="P63" s="24" t="s">
        <v>32</v>
      </c>
      <c r="Q63" s="24" t="s">
        <v>197</v>
      </c>
      <c r="R63" s="24"/>
      <c r="S63" s="25"/>
      <c r="T63" s="46" t="str">
        <f>IFERROR(VLOOKUP(10*tblRiskRegister[[#This Row],[Risk Treatment Safeguard Maturity Score]]+tblRiskRegister[[#This Row],[VCDB Index]],tblHITIndexWeightTable[],4,FALSE),"")</f>
        <v/>
      </c>
      <c r="U63" s="46">
        <f>VLOOKUP(tblRiskRegister[[#This Row],[Asset Class]],tblImpactIndex[],2,FALSE)</f>
        <v>0</v>
      </c>
      <c r="V63" s="46">
        <f>VLOOKUP(tblRiskRegister[[#This Row],[Asset Class]],tblImpactIndex[],3,FALSE)</f>
        <v>0</v>
      </c>
      <c r="W63" s="46">
        <f>VLOOKUP(tblRiskRegister[[#This Row],[Asset Class]],tblImpactIndex[],4,FALSE)</f>
        <v>0</v>
      </c>
      <c r="X63" s="46" t="str">
        <f>IFERROR(MAX(tblRiskRegister[[#This Row],[Risk Treatment Safeguard Impact to Mission]:[Risk Treatment Safeguard Impact to Obligations]])*tblRiskRegister[[#This Row],[Risk Treatment
Safeguard Expectancy Score]],"")</f>
        <v/>
      </c>
      <c r="Y63" s="46" t="str">
        <f>IF(tblRiskRegister[[#This Row],[Risk Score]]&gt;5,IF(tblRiskRegister[[#This Row],[Risk Treatment Safeguard Risk Score]]&lt;6, IF(tblRiskRegister[[#This Row],[Risk Treatment Safeguard Risk Score]]&lt;=tblRiskRegister[[#This Row],[Risk Score]],"Yes","No"),"No"),"Yes")</f>
        <v>No</v>
      </c>
      <c r="Z63" s="26"/>
      <c r="AA63" s="26"/>
      <c r="AB63" s="27"/>
    </row>
    <row r="64" spans="2:28" ht="51" x14ac:dyDescent="0.2">
      <c r="B64" s="22">
        <v>16.8</v>
      </c>
      <c r="C64" s="23" t="s">
        <v>33</v>
      </c>
      <c r="D64" s="233" t="s">
        <v>450</v>
      </c>
      <c r="E64" s="172" t="s">
        <v>150</v>
      </c>
      <c r="F64" s="25"/>
      <c r="G64" s="45">
        <f>IFERROR(VLOOKUP(tblRiskRegister[[#This Row],[Asset Class]],tblVCDBIndex[],4,FALSE),"")</f>
        <v>3</v>
      </c>
      <c r="H64" s="45" t="str">
        <f>IFERROR(VLOOKUP(10*tblRiskRegister[[#This Row],[Safeguard Maturity Score]]+tblRiskRegister[[#This Row],[VCDB Index]],tblHITIndexWeightTable[],4,FALSE),"")</f>
        <v/>
      </c>
      <c r="I64" s="45">
        <f>VLOOKUP(tblRiskRegister[[#This Row],[Asset Class]],tblImpactIndex[],2,FALSE)</f>
        <v>0</v>
      </c>
      <c r="J64" s="45">
        <f>VLOOKUP(tblRiskRegister[[#This Row],[Asset Class]],tblImpactIndex[],3,FALSE)</f>
        <v>0</v>
      </c>
      <c r="K64" s="45">
        <f>VLOOKUP(tblRiskRegister[[#This Row],[Asset Class]],tblImpactIndex[],4,FALSE)</f>
        <v>0</v>
      </c>
      <c r="L64" s="45" t="str">
        <f>IFERROR(MAX(tblRiskRegister[[#This Row],[Impact to Mission]:[Impact to Obligations]])*tblRiskRegister[[#This Row],[Expectancy Score]],"")</f>
        <v/>
      </c>
      <c r="M64" s="45" t="str">
        <f>tblRiskRegister[[#This Row],[Risk Score]]</f>
        <v/>
      </c>
      <c r="N64" s="203"/>
      <c r="O64" s="37">
        <v>16.8</v>
      </c>
      <c r="P64" s="24" t="s">
        <v>33</v>
      </c>
      <c r="Q64" s="24" t="s">
        <v>199</v>
      </c>
      <c r="R64" s="24"/>
      <c r="S64" s="25"/>
      <c r="T64" s="46" t="str">
        <f>IFERROR(VLOOKUP(10*tblRiskRegister[[#This Row],[Risk Treatment Safeguard Maturity Score]]+tblRiskRegister[[#This Row],[VCDB Index]],tblHITIndexWeightTable[],4,FALSE),"")</f>
        <v/>
      </c>
      <c r="U64" s="46">
        <f>VLOOKUP(tblRiskRegister[[#This Row],[Asset Class]],tblImpactIndex[],2,FALSE)</f>
        <v>0</v>
      </c>
      <c r="V64" s="46">
        <f>VLOOKUP(tblRiskRegister[[#This Row],[Asset Class]],tblImpactIndex[],3,FALSE)</f>
        <v>0</v>
      </c>
      <c r="W64" s="46">
        <f>VLOOKUP(tblRiskRegister[[#This Row],[Asset Class]],tblImpactIndex[],4,FALSE)</f>
        <v>0</v>
      </c>
      <c r="X64" s="46" t="str">
        <f>IFERROR(MAX(tblRiskRegister[[#This Row],[Risk Treatment Safeguard Impact to Mission]:[Risk Treatment Safeguard Impact to Obligations]])*tblRiskRegister[[#This Row],[Risk Treatment
Safeguard Expectancy Score]],"")</f>
        <v/>
      </c>
      <c r="Y64" s="46" t="str">
        <f>IF(tblRiskRegister[[#This Row],[Risk Score]]&gt;5,IF(tblRiskRegister[[#This Row],[Risk Treatment Safeguard Risk Score]]&lt;6, IF(tblRiskRegister[[#This Row],[Risk Treatment Safeguard Risk Score]]&lt;=tblRiskRegister[[#This Row],[Risk Score]],"Yes","No"),"No"),"Yes")</f>
        <v>No</v>
      </c>
      <c r="Z64" s="26"/>
      <c r="AA64" s="26"/>
      <c r="AB64" s="27"/>
    </row>
    <row r="65" spans="2:28" ht="38.25" x14ac:dyDescent="0.2">
      <c r="B65" s="22">
        <v>16.899999999999999</v>
      </c>
      <c r="C65" s="23" t="s">
        <v>34</v>
      </c>
      <c r="D65" s="233" t="s">
        <v>450</v>
      </c>
      <c r="E65" s="172" t="s">
        <v>150</v>
      </c>
      <c r="F65" s="25"/>
      <c r="G65" s="45">
        <f>IFERROR(VLOOKUP(tblRiskRegister[[#This Row],[Asset Class]],tblVCDBIndex[],4,FALSE),"")</f>
        <v>3</v>
      </c>
      <c r="H65" s="45" t="str">
        <f>IFERROR(VLOOKUP(10*tblRiskRegister[[#This Row],[Safeguard Maturity Score]]+tblRiskRegister[[#This Row],[VCDB Index]],tblHITIndexWeightTable[],4,FALSE),"")</f>
        <v/>
      </c>
      <c r="I65" s="45">
        <f>VLOOKUP(tblRiskRegister[[#This Row],[Asset Class]],tblImpactIndex[],2,FALSE)</f>
        <v>0</v>
      </c>
      <c r="J65" s="45">
        <f>VLOOKUP(tblRiskRegister[[#This Row],[Asset Class]],tblImpactIndex[],3,FALSE)</f>
        <v>0</v>
      </c>
      <c r="K65" s="45">
        <f>VLOOKUP(tblRiskRegister[[#This Row],[Asset Class]],tblImpactIndex[],4,FALSE)</f>
        <v>0</v>
      </c>
      <c r="L65" s="45" t="str">
        <f>IFERROR(MAX(tblRiskRegister[[#This Row],[Impact to Mission]:[Impact to Obligations]])*tblRiskRegister[[#This Row],[Expectancy Score]],"")</f>
        <v/>
      </c>
      <c r="M65" s="45" t="str">
        <f>tblRiskRegister[[#This Row],[Risk Score]]</f>
        <v/>
      </c>
      <c r="N65" s="203"/>
      <c r="O65" s="37">
        <v>16.899999999999999</v>
      </c>
      <c r="P65" s="24" t="s">
        <v>34</v>
      </c>
      <c r="Q65" s="24" t="s">
        <v>200</v>
      </c>
      <c r="R65" s="24"/>
      <c r="S65" s="25"/>
      <c r="T65" s="46" t="str">
        <f>IFERROR(VLOOKUP(10*tblRiskRegister[[#This Row],[Risk Treatment Safeguard Maturity Score]]+tblRiskRegister[[#This Row],[VCDB Index]],tblHITIndexWeightTable[],4,FALSE),"")</f>
        <v/>
      </c>
      <c r="U65" s="46">
        <f>VLOOKUP(tblRiskRegister[[#This Row],[Asset Class]],tblImpactIndex[],2,FALSE)</f>
        <v>0</v>
      </c>
      <c r="V65" s="46">
        <f>VLOOKUP(tblRiskRegister[[#This Row],[Asset Class]],tblImpactIndex[],3,FALSE)</f>
        <v>0</v>
      </c>
      <c r="W65" s="46">
        <f>VLOOKUP(tblRiskRegister[[#This Row],[Asset Class]],tblImpactIndex[],4,FALSE)</f>
        <v>0</v>
      </c>
      <c r="X65" s="46" t="str">
        <f>IFERROR(MAX(tblRiskRegister[[#This Row],[Risk Treatment Safeguard Impact to Mission]:[Risk Treatment Safeguard Impact to Obligations]])*tblRiskRegister[[#This Row],[Risk Treatment
Safeguard Expectancy Score]],"")</f>
        <v/>
      </c>
      <c r="Y65" s="46" t="str">
        <f>IF(tblRiskRegister[[#This Row],[Risk Score]]&gt;5,IF(tblRiskRegister[[#This Row],[Risk Treatment Safeguard Risk Score]]&lt;6, IF(tblRiskRegister[[#This Row],[Risk Treatment Safeguard Risk Score]]&lt;=tblRiskRegister[[#This Row],[Risk Score]],"Yes","No"),"No"),"Yes")</f>
        <v>No</v>
      </c>
      <c r="Z65" s="26"/>
      <c r="AA65" s="26"/>
      <c r="AB65" s="27"/>
    </row>
    <row r="66" spans="2:28" ht="51" x14ac:dyDescent="0.2">
      <c r="B66" s="22">
        <v>16.11</v>
      </c>
      <c r="C66" s="23" t="s">
        <v>35</v>
      </c>
      <c r="D66" s="233" t="s">
        <v>451</v>
      </c>
      <c r="E66" s="172" t="s">
        <v>147</v>
      </c>
      <c r="F66" s="25"/>
      <c r="G66" s="45">
        <f>IFERROR(VLOOKUP(tblRiskRegister[[#This Row],[Asset Class]],tblVCDBIndex[],4,FALSE),"")</f>
        <v>1</v>
      </c>
      <c r="H66" s="45" t="str">
        <f>IFERROR(VLOOKUP(10*tblRiskRegister[[#This Row],[Safeguard Maturity Score]]+tblRiskRegister[[#This Row],[VCDB Index]],tblHITIndexWeightTable[],4,FALSE),"")</f>
        <v/>
      </c>
      <c r="I66" s="45">
        <f>VLOOKUP(tblRiskRegister[[#This Row],[Asset Class]],tblImpactIndex[],2,FALSE)</f>
        <v>0</v>
      </c>
      <c r="J66" s="45">
        <f>VLOOKUP(tblRiskRegister[[#This Row],[Asset Class]],tblImpactIndex[],3,FALSE)</f>
        <v>0</v>
      </c>
      <c r="K66" s="45">
        <f>VLOOKUP(tblRiskRegister[[#This Row],[Asset Class]],tblImpactIndex[],4,FALSE)</f>
        <v>0</v>
      </c>
      <c r="L66" s="45" t="str">
        <f>IFERROR(MAX(tblRiskRegister[[#This Row],[Impact to Mission]:[Impact to Obligations]])*tblRiskRegister[[#This Row],[Expectancy Score]],"")</f>
        <v/>
      </c>
      <c r="M66" s="45" t="str">
        <f>tblRiskRegister[[#This Row],[Risk Score]]</f>
        <v/>
      </c>
      <c r="N66" s="203"/>
      <c r="O66" s="37">
        <v>16.11</v>
      </c>
      <c r="P66" s="24" t="s">
        <v>35</v>
      </c>
      <c r="Q66" s="24" t="s">
        <v>201</v>
      </c>
      <c r="R66" s="24"/>
      <c r="S66" s="25"/>
      <c r="T66" s="46" t="str">
        <f>IFERROR(VLOOKUP(10*tblRiskRegister[[#This Row],[Risk Treatment Safeguard Maturity Score]]+tblRiskRegister[[#This Row],[VCDB Index]],tblHITIndexWeightTable[],4,FALSE),"")</f>
        <v/>
      </c>
      <c r="U66" s="46">
        <f>VLOOKUP(tblRiskRegister[[#This Row],[Asset Class]],tblImpactIndex[],2,FALSE)</f>
        <v>0</v>
      </c>
      <c r="V66" s="46">
        <f>VLOOKUP(tblRiskRegister[[#This Row],[Asset Class]],tblImpactIndex[],3,FALSE)</f>
        <v>0</v>
      </c>
      <c r="W66" s="46">
        <f>VLOOKUP(tblRiskRegister[[#This Row],[Asset Class]],tblImpactIndex[],4,FALSE)</f>
        <v>0</v>
      </c>
      <c r="X66" s="46" t="str">
        <f>IFERROR(MAX(tblRiskRegister[[#This Row],[Risk Treatment Safeguard Impact to Mission]:[Risk Treatment Safeguard Impact to Obligations]])*tblRiskRegister[[#This Row],[Risk Treatment
Safeguard Expectancy Score]],"")</f>
        <v/>
      </c>
      <c r="Y66" s="46" t="str">
        <f>IF(tblRiskRegister[[#This Row],[Risk Score]]&gt;5,IF(tblRiskRegister[[#This Row],[Risk Treatment Safeguard Risk Score]]&lt;6, IF(tblRiskRegister[[#This Row],[Risk Treatment Safeguard Risk Score]]&lt;=tblRiskRegister[[#This Row],[Risk Score]],"Yes","No"),"No"),"Yes")</f>
        <v>No</v>
      </c>
      <c r="Z66" s="26"/>
      <c r="AA66" s="26"/>
      <c r="AB66" s="27"/>
    </row>
    <row r="67" spans="2:28" ht="191.25" x14ac:dyDescent="0.2">
      <c r="B67" s="22">
        <v>17.3</v>
      </c>
      <c r="C67" s="23" t="s">
        <v>36</v>
      </c>
      <c r="D67" s="233" t="s">
        <v>454</v>
      </c>
      <c r="E67" s="172" t="s">
        <v>150</v>
      </c>
      <c r="F67" s="25"/>
      <c r="G67" s="45">
        <f>IFERROR(VLOOKUP(tblRiskRegister[[#This Row],[Asset Class]],tblVCDBIndex[],4,FALSE),"")</f>
        <v>3</v>
      </c>
      <c r="H67" s="45" t="str">
        <f>IFERROR(VLOOKUP(10*tblRiskRegister[[#This Row],[Safeguard Maturity Score]]+tblRiskRegister[[#This Row],[VCDB Index]],tblHITIndexWeightTable[],4,FALSE),"")</f>
        <v/>
      </c>
      <c r="I67" s="45">
        <f>VLOOKUP(tblRiskRegister[[#This Row],[Asset Class]],tblImpactIndex[],2,FALSE)</f>
        <v>0</v>
      </c>
      <c r="J67" s="45">
        <f>VLOOKUP(tblRiskRegister[[#This Row],[Asset Class]],tblImpactIndex[],3,FALSE)</f>
        <v>0</v>
      </c>
      <c r="K67" s="45">
        <f>VLOOKUP(tblRiskRegister[[#This Row],[Asset Class]],tblImpactIndex[],4,FALSE)</f>
        <v>0</v>
      </c>
      <c r="L67" s="45" t="str">
        <f>IFERROR(MAX(tblRiskRegister[[#This Row],[Impact to Mission]:[Impact to Obligations]])*tblRiskRegister[[#This Row],[Expectancy Score]],"")</f>
        <v/>
      </c>
      <c r="M67" s="45" t="str">
        <f>tblRiskRegister[[#This Row],[Risk Score]]</f>
        <v/>
      </c>
      <c r="N67" s="203"/>
      <c r="O67" s="37">
        <v>17.3</v>
      </c>
      <c r="P67" s="24" t="s">
        <v>36</v>
      </c>
      <c r="Q67" s="24" t="s">
        <v>202</v>
      </c>
      <c r="R67" s="24"/>
      <c r="S67" s="25"/>
      <c r="T67" s="46" t="str">
        <f>IFERROR(VLOOKUP(10*tblRiskRegister[[#This Row],[Risk Treatment Safeguard Maturity Score]]+tblRiskRegister[[#This Row],[VCDB Index]],tblHITIndexWeightTable[],4,FALSE),"")</f>
        <v/>
      </c>
      <c r="U67" s="46">
        <f>VLOOKUP(tblRiskRegister[[#This Row],[Asset Class]],tblImpactIndex[],2,FALSE)</f>
        <v>0</v>
      </c>
      <c r="V67" s="46">
        <f>VLOOKUP(tblRiskRegister[[#This Row],[Asset Class]],tblImpactIndex[],3,FALSE)</f>
        <v>0</v>
      </c>
      <c r="W67" s="46">
        <f>VLOOKUP(tblRiskRegister[[#This Row],[Asset Class]],tblImpactIndex[],4,FALSE)</f>
        <v>0</v>
      </c>
      <c r="X67" s="46" t="str">
        <f>IFERROR(MAX(tblRiskRegister[[#This Row],[Risk Treatment Safeguard Impact to Mission]:[Risk Treatment Safeguard Impact to Obligations]])*tblRiskRegister[[#This Row],[Risk Treatment
Safeguard Expectancy Score]],"")</f>
        <v/>
      </c>
      <c r="Y67" s="46" t="str">
        <f>IF(tblRiskRegister[[#This Row],[Risk Score]]&gt;5,IF(tblRiskRegister[[#This Row],[Risk Treatment Safeguard Risk Score]]&lt;6, IF(tblRiskRegister[[#This Row],[Risk Treatment Safeguard Risk Score]]&lt;=tblRiskRegister[[#This Row],[Risk Score]],"Yes","No"),"No"),"Yes")</f>
        <v>No</v>
      </c>
      <c r="Z67" s="26"/>
      <c r="AA67" s="26"/>
      <c r="AB67" s="27"/>
    </row>
    <row r="68" spans="2:28" ht="51" x14ac:dyDescent="0.2">
      <c r="B68" s="22">
        <v>17.5</v>
      </c>
      <c r="C68" s="23" t="s">
        <v>37</v>
      </c>
      <c r="D68" s="233" t="s">
        <v>454</v>
      </c>
      <c r="E68" s="172" t="s">
        <v>150</v>
      </c>
      <c r="F68" s="25"/>
      <c r="G68" s="45">
        <f>IFERROR(VLOOKUP(tblRiskRegister[[#This Row],[Asset Class]],tblVCDBIndex[],4,FALSE),"")</f>
        <v>3</v>
      </c>
      <c r="H68" s="45" t="str">
        <f>IFERROR(VLOOKUP(10*tblRiskRegister[[#This Row],[Safeguard Maturity Score]]+tblRiskRegister[[#This Row],[VCDB Index]],tblHITIndexWeightTable[],4,FALSE),"")</f>
        <v/>
      </c>
      <c r="I68" s="45">
        <f>VLOOKUP(tblRiskRegister[[#This Row],[Asset Class]],tblImpactIndex[],2,FALSE)</f>
        <v>0</v>
      </c>
      <c r="J68" s="45">
        <f>VLOOKUP(tblRiskRegister[[#This Row],[Asset Class]],tblImpactIndex[],3,FALSE)</f>
        <v>0</v>
      </c>
      <c r="K68" s="45">
        <f>VLOOKUP(tblRiskRegister[[#This Row],[Asset Class]],tblImpactIndex[],4,FALSE)</f>
        <v>0</v>
      </c>
      <c r="L68" s="45" t="str">
        <f>IFERROR(MAX(tblRiskRegister[[#This Row],[Impact to Mission]:[Impact to Obligations]])*tblRiskRegister[[#This Row],[Expectancy Score]],"")</f>
        <v/>
      </c>
      <c r="M68" s="45" t="str">
        <f>tblRiskRegister[[#This Row],[Risk Score]]</f>
        <v/>
      </c>
      <c r="N68" s="203"/>
      <c r="O68" s="37">
        <v>17.5</v>
      </c>
      <c r="P68" s="24" t="s">
        <v>37</v>
      </c>
      <c r="Q68" s="24" t="s">
        <v>203</v>
      </c>
      <c r="R68" s="24"/>
      <c r="S68" s="25"/>
      <c r="T68" s="46" t="str">
        <f>IFERROR(VLOOKUP(10*tblRiskRegister[[#This Row],[Risk Treatment Safeguard Maturity Score]]+tblRiskRegister[[#This Row],[VCDB Index]],tblHITIndexWeightTable[],4,FALSE),"")</f>
        <v/>
      </c>
      <c r="U68" s="46">
        <f>VLOOKUP(tblRiskRegister[[#This Row],[Asset Class]],tblImpactIndex[],2,FALSE)</f>
        <v>0</v>
      </c>
      <c r="V68" s="46">
        <f>VLOOKUP(tblRiskRegister[[#This Row],[Asset Class]],tblImpactIndex[],3,FALSE)</f>
        <v>0</v>
      </c>
      <c r="W68" s="46">
        <f>VLOOKUP(tblRiskRegister[[#This Row],[Asset Class]],tblImpactIndex[],4,FALSE)</f>
        <v>0</v>
      </c>
      <c r="X68" s="46" t="str">
        <f>IFERROR(MAX(tblRiskRegister[[#This Row],[Risk Treatment Safeguard Impact to Mission]:[Risk Treatment Safeguard Impact to Obligations]])*tblRiskRegister[[#This Row],[Risk Treatment
Safeguard Expectancy Score]],"")</f>
        <v/>
      </c>
      <c r="Y68" s="46" t="str">
        <f>IF(tblRiskRegister[[#This Row],[Risk Score]]&gt;5,IF(tblRiskRegister[[#This Row],[Risk Treatment Safeguard Risk Score]]&lt;6, IF(tblRiskRegister[[#This Row],[Risk Treatment Safeguard Risk Score]]&lt;=tblRiskRegister[[#This Row],[Risk Score]],"Yes","No"),"No"),"Yes")</f>
        <v>No</v>
      </c>
      <c r="Z68" s="26"/>
      <c r="AA68" s="26"/>
      <c r="AB68" s="27"/>
    </row>
    <row r="69" spans="2:28" ht="89.25" x14ac:dyDescent="0.2">
      <c r="B69" s="22">
        <v>17.600000000000001</v>
      </c>
      <c r="C69" s="23" t="s">
        <v>38</v>
      </c>
      <c r="D69" s="233" t="s">
        <v>454</v>
      </c>
      <c r="E69" s="172" t="s">
        <v>150</v>
      </c>
      <c r="F69" s="25"/>
      <c r="G69" s="45">
        <f>IFERROR(VLOOKUP(tblRiskRegister[[#This Row],[Asset Class]],tblVCDBIndex[],4,FALSE),"")</f>
        <v>3</v>
      </c>
      <c r="H69" s="45" t="str">
        <f>IFERROR(VLOOKUP(10*tblRiskRegister[[#This Row],[Safeguard Maturity Score]]+tblRiskRegister[[#This Row],[VCDB Index]],tblHITIndexWeightTable[],4,FALSE),"")</f>
        <v/>
      </c>
      <c r="I69" s="45">
        <f>VLOOKUP(tblRiskRegister[[#This Row],[Asset Class]],tblImpactIndex[],2,FALSE)</f>
        <v>0</v>
      </c>
      <c r="J69" s="45">
        <f>VLOOKUP(tblRiskRegister[[#This Row],[Asset Class]],tblImpactIndex[],3,FALSE)</f>
        <v>0</v>
      </c>
      <c r="K69" s="45">
        <f>VLOOKUP(tblRiskRegister[[#This Row],[Asset Class]],tblImpactIndex[],4,FALSE)</f>
        <v>0</v>
      </c>
      <c r="L69" s="45" t="str">
        <f>IFERROR(MAX(tblRiskRegister[[#This Row],[Impact to Mission]:[Impact to Obligations]])*tblRiskRegister[[#This Row],[Expectancy Score]],"")</f>
        <v/>
      </c>
      <c r="M69" s="45" t="str">
        <f>tblRiskRegister[[#This Row],[Risk Score]]</f>
        <v/>
      </c>
      <c r="N69" s="203"/>
      <c r="O69" s="37">
        <v>17.600000000000001</v>
      </c>
      <c r="P69" s="24" t="s">
        <v>38</v>
      </c>
      <c r="Q69" s="24" t="s">
        <v>418</v>
      </c>
      <c r="R69" s="24"/>
      <c r="S69" s="25"/>
      <c r="T69" s="46" t="str">
        <f>IFERROR(VLOOKUP(10*tblRiskRegister[[#This Row],[Risk Treatment Safeguard Maturity Score]]+tblRiskRegister[[#This Row],[VCDB Index]],tblHITIndexWeightTable[],4,FALSE),"")</f>
        <v/>
      </c>
      <c r="U69" s="46">
        <f>VLOOKUP(tblRiskRegister[[#This Row],[Asset Class]],tblImpactIndex[],2,FALSE)</f>
        <v>0</v>
      </c>
      <c r="V69" s="46">
        <f>VLOOKUP(tblRiskRegister[[#This Row],[Asset Class]],tblImpactIndex[],3,FALSE)</f>
        <v>0</v>
      </c>
      <c r="W69" s="46">
        <f>VLOOKUP(tblRiskRegister[[#This Row],[Asset Class]],tblImpactIndex[],4,FALSE)</f>
        <v>0</v>
      </c>
      <c r="X69" s="46" t="str">
        <f>IFERROR(MAX(tblRiskRegister[[#This Row],[Risk Treatment Safeguard Impact to Mission]:[Risk Treatment Safeguard Impact to Obligations]])*tblRiskRegister[[#This Row],[Risk Treatment
Safeguard Expectancy Score]],"")</f>
        <v/>
      </c>
      <c r="Y69" s="46" t="str">
        <f>IF(tblRiskRegister[[#This Row],[Risk Score]]&gt;5,IF(tblRiskRegister[[#This Row],[Risk Treatment Safeguard Risk Score]]&lt;6, IF(tblRiskRegister[[#This Row],[Risk Treatment Safeguard Risk Score]]&lt;=tblRiskRegister[[#This Row],[Risk Score]],"Yes","No"),"No"),"Yes")</f>
        <v>No</v>
      </c>
      <c r="Z69" s="26"/>
      <c r="AA69" s="26"/>
      <c r="AB69" s="27"/>
    </row>
    <row r="70" spans="2:28" ht="63.75" x14ac:dyDescent="0.2">
      <c r="B70" s="22">
        <v>17.7</v>
      </c>
      <c r="C70" s="23" t="s">
        <v>39</v>
      </c>
      <c r="D70" s="233" t="s">
        <v>454</v>
      </c>
      <c r="E70" s="172" t="s">
        <v>150</v>
      </c>
      <c r="F70" s="25"/>
      <c r="G70" s="45">
        <f>IFERROR(VLOOKUP(tblRiskRegister[[#This Row],[Asset Class]],tblVCDBIndex[],4,FALSE),"")</f>
        <v>3</v>
      </c>
      <c r="H70" s="45" t="str">
        <f>IFERROR(VLOOKUP(10*tblRiskRegister[[#This Row],[Safeguard Maturity Score]]+tblRiskRegister[[#This Row],[VCDB Index]],tblHITIndexWeightTable[],4,FALSE),"")</f>
        <v/>
      </c>
      <c r="I70" s="45">
        <f>VLOOKUP(tblRiskRegister[[#This Row],[Asset Class]],tblImpactIndex[],2,FALSE)</f>
        <v>0</v>
      </c>
      <c r="J70" s="45">
        <f>VLOOKUP(tblRiskRegister[[#This Row],[Asset Class]],tblImpactIndex[],3,FALSE)</f>
        <v>0</v>
      </c>
      <c r="K70" s="45">
        <f>VLOOKUP(tblRiskRegister[[#This Row],[Asset Class]],tblImpactIndex[],4,FALSE)</f>
        <v>0</v>
      </c>
      <c r="L70" s="45" t="str">
        <f>IFERROR(MAX(tblRiskRegister[[#This Row],[Impact to Mission]:[Impact to Obligations]])*tblRiskRegister[[#This Row],[Expectancy Score]],"")</f>
        <v/>
      </c>
      <c r="M70" s="45" t="str">
        <f>tblRiskRegister[[#This Row],[Risk Score]]</f>
        <v/>
      </c>
      <c r="N70" s="203"/>
      <c r="O70" s="37">
        <v>17.7</v>
      </c>
      <c r="P70" s="24" t="s">
        <v>39</v>
      </c>
      <c r="Q70" s="24" t="s">
        <v>419</v>
      </c>
      <c r="R70" s="24"/>
      <c r="S70" s="25"/>
      <c r="T70" s="46" t="str">
        <f>IFERROR(VLOOKUP(10*tblRiskRegister[[#This Row],[Risk Treatment Safeguard Maturity Score]]+tblRiskRegister[[#This Row],[VCDB Index]],tblHITIndexWeightTable[],4,FALSE),"")</f>
        <v/>
      </c>
      <c r="U70" s="46">
        <f>VLOOKUP(tblRiskRegister[[#This Row],[Asset Class]],tblImpactIndex[],2,FALSE)</f>
        <v>0</v>
      </c>
      <c r="V70" s="46">
        <f>VLOOKUP(tblRiskRegister[[#This Row],[Asset Class]],tblImpactIndex[],3,FALSE)</f>
        <v>0</v>
      </c>
      <c r="W70" s="46">
        <f>VLOOKUP(tblRiskRegister[[#This Row],[Asset Class]],tblImpactIndex[],4,FALSE)</f>
        <v>0</v>
      </c>
      <c r="X70" s="46" t="str">
        <f>IFERROR(MAX(tblRiskRegister[[#This Row],[Risk Treatment Safeguard Impact to Mission]:[Risk Treatment Safeguard Impact to Obligations]])*tblRiskRegister[[#This Row],[Risk Treatment
Safeguard Expectancy Score]],"")</f>
        <v/>
      </c>
      <c r="Y70" s="46" t="str">
        <f>IF(tblRiskRegister[[#This Row],[Risk Score]]&gt;5,IF(tblRiskRegister[[#This Row],[Risk Treatment Safeguard Risk Score]]&lt;6, IF(tblRiskRegister[[#This Row],[Risk Treatment Safeguard Risk Score]]&lt;=tblRiskRegister[[#This Row],[Risk Score]],"Yes","No"),"No"),"Yes")</f>
        <v>No</v>
      </c>
      <c r="Z70" s="26"/>
      <c r="AA70" s="26"/>
      <c r="AB70" s="27"/>
    </row>
    <row r="71" spans="2:28" ht="102" x14ac:dyDescent="0.2">
      <c r="B71" s="22">
        <v>17.8</v>
      </c>
      <c r="C71" s="23" t="s">
        <v>40</v>
      </c>
      <c r="D71" s="233" t="s">
        <v>454</v>
      </c>
      <c r="E71" s="172" t="s">
        <v>150</v>
      </c>
      <c r="F71" s="25"/>
      <c r="G71" s="45">
        <f>IFERROR(VLOOKUP(tblRiskRegister[[#This Row],[Asset Class]],tblVCDBIndex[],4,FALSE),"")</f>
        <v>3</v>
      </c>
      <c r="H71" s="45" t="str">
        <f>IFERROR(VLOOKUP(10*tblRiskRegister[[#This Row],[Safeguard Maturity Score]]+tblRiskRegister[[#This Row],[VCDB Index]],tblHITIndexWeightTable[],4,FALSE),"")</f>
        <v/>
      </c>
      <c r="I71" s="45">
        <f>VLOOKUP(tblRiskRegister[[#This Row],[Asset Class]],tblImpactIndex[],2,FALSE)</f>
        <v>0</v>
      </c>
      <c r="J71" s="45">
        <f>VLOOKUP(tblRiskRegister[[#This Row],[Asset Class]],tblImpactIndex[],3,FALSE)</f>
        <v>0</v>
      </c>
      <c r="K71" s="45">
        <f>VLOOKUP(tblRiskRegister[[#This Row],[Asset Class]],tblImpactIndex[],4,FALSE)</f>
        <v>0</v>
      </c>
      <c r="L71" s="45" t="str">
        <f>IFERROR(MAX(tblRiskRegister[[#This Row],[Impact to Mission]:[Impact to Obligations]])*tblRiskRegister[[#This Row],[Expectancy Score]],"")</f>
        <v/>
      </c>
      <c r="M71" s="45" t="str">
        <f>tblRiskRegister[[#This Row],[Risk Score]]</f>
        <v/>
      </c>
      <c r="N71" s="203"/>
      <c r="O71" s="37">
        <v>17.8</v>
      </c>
      <c r="P71" s="24" t="s">
        <v>40</v>
      </c>
      <c r="Q71" s="24" t="s">
        <v>204</v>
      </c>
      <c r="R71" s="24"/>
      <c r="S71" s="25"/>
      <c r="T71" s="46" t="str">
        <f>IFERROR(VLOOKUP(10*tblRiskRegister[[#This Row],[Risk Treatment Safeguard Maturity Score]]+tblRiskRegister[[#This Row],[VCDB Index]],tblHITIndexWeightTable[],4,FALSE),"")</f>
        <v/>
      </c>
      <c r="U71" s="46">
        <f>VLOOKUP(tblRiskRegister[[#This Row],[Asset Class]],tblImpactIndex[],2,FALSE)</f>
        <v>0</v>
      </c>
      <c r="V71" s="46">
        <f>VLOOKUP(tblRiskRegister[[#This Row],[Asset Class]],tblImpactIndex[],3,FALSE)</f>
        <v>0</v>
      </c>
      <c r="W71" s="46">
        <f>VLOOKUP(tblRiskRegister[[#This Row],[Asset Class]],tblImpactIndex[],4,FALSE)</f>
        <v>0</v>
      </c>
      <c r="X71" s="46" t="str">
        <f>IFERROR(MAX(tblRiskRegister[[#This Row],[Risk Treatment Safeguard Impact to Mission]:[Risk Treatment Safeguard Impact to Obligations]])*tblRiskRegister[[#This Row],[Risk Treatment
Safeguard Expectancy Score]],"")</f>
        <v/>
      </c>
      <c r="Y71" s="46" t="str">
        <f>IF(tblRiskRegister[[#This Row],[Risk Score]]&gt;5,IF(tblRiskRegister[[#This Row],[Risk Treatment Safeguard Risk Score]]&lt;6, IF(tblRiskRegister[[#This Row],[Risk Treatment Safeguard Risk Score]]&lt;=tblRiskRegister[[#This Row],[Risk Score]],"Yes","No"),"No"),"Yes")</f>
        <v>No</v>
      </c>
      <c r="Z71" s="26"/>
      <c r="AA71" s="26"/>
      <c r="AB71" s="27"/>
    </row>
    <row r="72" spans="2:28" ht="63.75" x14ac:dyDescent="0.2">
      <c r="B72" s="22">
        <v>17.899999999999999</v>
      </c>
      <c r="C72" s="23" t="s">
        <v>41</v>
      </c>
      <c r="D72" s="233" t="s">
        <v>454</v>
      </c>
      <c r="E72" s="172" t="s">
        <v>150</v>
      </c>
      <c r="F72" s="25"/>
      <c r="G72" s="45">
        <f>IFERROR(VLOOKUP(tblRiskRegister[[#This Row],[Asset Class]],tblVCDBIndex[],4,FALSE),"")</f>
        <v>3</v>
      </c>
      <c r="H72" s="45" t="str">
        <f>IFERROR(VLOOKUP(10*tblRiskRegister[[#This Row],[Safeguard Maturity Score]]+tblRiskRegister[[#This Row],[VCDB Index]],tblHITIndexWeightTable[],4,FALSE),"")</f>
        <v/>
      </c>
      <c r="I72" s="45">
        <f>VLOOKUP(tblRiskRegister[[#This Row],[Asset Class]],tblImpactIndex[],2,FALSE)</f>
        <v>0</v>
      </c>
      <c r="J72" s="45">
        <f>VLOOKUP(tblRiskRegister[[#This Row],[Asset Class]],tblImpactIndex[],3,FALSE)</f>
        <v>0</v>
      </c>
      <c r="K72" s="45">
        <f>VLOOKUP(tblRiskRegister[[#This Row],[Asset Class]],tblImpactIndex[],4,FALSE)</f>
        <v>0</v>
      </c>
      <c r="L72" s="45" t="str">
        <f>IFERROR(MAX(tblRiskRegister[[#This Row],[Impact to Mission]:[Impact to Obligations]])*tblRiskRegister[[#This Row],[Expectancy Score]],"")</f>
        <v/>
      </c>
      <c r="M72" s="45" t="str">
        <f>tblRiskRegister[[#This Row],[Risk Score]]</f>
        <v/>
      </c>
      <c r="N72" s="203"/>
      <c r="O72" s="37">
        <v>17.899999999999999</v>
      </c>
      <c r="P72" s="24" t="s">
        <v>41</v>
      </c>
      <c r="Q72" s="24" t="s">
        <v>205</v>
      </c>
      <c r="R72" s="24"/>
      <c r="S72" s="25"/>
      <c r="T72" s="46" t="str">
        <f>IFERROR(VLOOKUP(10*tblRiskRegister[[#This Row],[Risk Treatment Safeguard Maturity Score]]+tblRiskRegister[[#This Row],[VCDB Index]],tblHITIndexWeightTable[],4,FALSE),"")</f>
        <v/>
      </c>
      <c r="U72" s="46">
        <f>VLOOKUP(tblRiskRegister[[#This Row],[Asset Class]],tblImpactIndex[],2,FALSE)</f>
        <v>0</v>
      </c>
      <c r="V72" s="46">
        <f>VLOOKUP(tblRiskRegister[[#This Row],[Asset Class]],tblImpactIndex[],3,FALSE)</f>
        <v>0</v>
      </c>
      <c r="W72" s="46">
        <f>VLOOKUP(tblRiskRegister[[#This Row],[Asset Class]],tblImpactIndex[],4,FALSE)</f>
        <v>0</v>
      </c>
      <c r="X72" s="46" t="str">
        <f>IFERROR(MAX(tblRiskRegister[[#This Row],[Risk Treatment Safeguard Impact to Mission]:[Risk Treatment Safeguard Impact to Obligations]])*tblRiskRegister[[#This Row],[Risk Treatment
Safeguard Expectancy Score]],"")</f>
        <v/>
      </c>
      <c r="Y72" s="46" t="str">
        <f>IF(tblRiskRegister[[#This Row],[Risk Score]]&gt;5,IF(tblRiskRegister[[#This Row],[Risk Treatment Safeguard Risk Score]]&lt;6, IF(tblRiskRegister[[#This Row],[Risk Treatment Safeguard Risk Score]]&lt;=tblRiskRegister[[#This Row],[Risk Score]],"Yes","No"),"No"),"Yes")</f>
        <v>No</v>
      </c>
      <c r="Z72" s="26"/>
      <c r="AA72" s="26"/>
      <c r="AB72" s="27"/>
    </row>
    <row r="73" spans="2:28" ht="76.5" x14ac:dyDescent="0.2">
      <c r="B73" s="22">
        <v>19.100000000000001</v>
      </c>
      <c r="C73" s="23" t="s">
        <v>42</v>
      </c>
      <c r="D73" s="233" t="s">
        <v>454</v>
      </c>
      <c r="E73" s="172" t="s">
        <v>151</v>
      </c>
      <c r="F73" s="25"/>
      <c r="G73" s="45">
        <f>IFERROR(VLOOKUP(tblRiskRegister[[#This Row],[Asset Class]],tblVCDBIndex[],4,FALSE),"")</f>
        <v>3</v>
      </c>
      <c r="H73" s="45" t="str">
        <f>IFERROR(VLOOKUP(10*tblRiskRegister[[#This Row],[Safeguard Maturity Score]]+tblRiskRegister[[#This Row],[VCDB Index]],tblHITIndexWeightTable[],4,FALSE),"")</f>
        <v/>
      </c>
      <c r="I73" s="45">
        <f>VLOOKUP(tblRiskRegister[[#This Row],[Asset Class]],tblImpactIndex[],2,FALSE)</f>
        <v>0</v>
      </c>
      <c r="J73" s="45">
        <f>VLOOKUP(tblRiskRegister[[#This Row],[Asset Class]],tblImpactIndex[],3,FALSE)</f>
        <v>0</v>
      </c>
      <c r="K73" s="45">
        <f>VLOOKUP(tblRiskRegister[[#This Row],[Asset Class]],tblImpactIndex[],4,FALSE)</f>
        <v>0</v>
      </c>
      <c r="L73" s="45" t="str">
        <f>IFERROR(MAX(tblRiskRegister[[#This Row],[Impact to Mission]:[Impact to Obligations]])*tblRiskRegister[[#This Row],[Expectancy Score]],"")</f>
        <v/>
      </c>
      <c r="M73" s="45" t="str">
        <f>tblRiskRegister[[#This Row],[Risk Score]]</f>
        <v/>
      </c>
      <c r="N73" s="203"/>
      <c r="O73" s="37">
        <v>19.100000000000001</v>
      </c>
      <c r="P73" s="24" t="s">
        <v>42</v>
      </c>
      <c r="Q73" s="24" t="s">
        <v>387</v>
      </c>
      <c r="R73" s="24"/>
      <c r="S73" s="25"/>
      <c r="T73" s="46" t="str">
        <f>IFERROR(VLOOKUP(10*tblRiskRegister[[#This Row],[Risk Treatment Safeguard Maturity Score]]+tblRiskRegister[[#This Row],[VCDB Index]],tblHITIndexWeightTable[],4,FALSE),"")</f>
        <v/>
      </c>
      <c r="U73" s="46">
        <f>VLOOKUP(tblRiskRegister[[#This Row],[Asset Class]],tblImpactIndex[],2,FALSE)</f>
        <v>0</v>
      </c>
      <c r="V73" s="46">
        <f>VLOOKUP(tblRiskRegister[[#This Row],[Asset Class]],tblImpactIndex[],3,FALSE)</f>
        <v>0</v>
      </c>
      <c r="W73" s="46">
        <f>VLOOKUP(tblRiskRegister[[#This Row],[Asset Class]],tblImpactIndex[],4,FALSE)</f>
        <v>0</v>
      </c>
      <c r="X73" s="46" t="str">
        <f>IFERROR(MAX(tblRiskRegister[[#This Row],[Risk Treatment Safeguard Impact to Mission]:[Risk Treatment Safeguard Impact to Obligations]])*tblRiskRegister[[#This Row],[Risk Treatment
Safeguard Expectancy Score]],"")</f>
        <v/>
      </c>
      <c r="Y73" s="46" t="str">
        <f>IF(tblRiskRegister[[#This Row],[Risk Score]]&gt;5,IF(tblRiskRegister[[#This Row],[Risk Treatment Safeguard Risk Score]]&lt;6, IF(tblRiskRegister[[#This Row],[Risk Treatment Safeguard Risk Score]]&lt;=tblRiskRegister[[#This Row],[Risk Score]],"Yes","No"),"No"),"Yes")</f>
        <v>No</v>
      </c>
      <c r="Z73" s="26"/>
      <c r="AA73" s="26"/>
      <c r="AB73" s="27"/>
    </row>
    <row r="74" spans="2:28" ht="89.25" x14ac:dyDescent="0.2">
      <c r="B74" s="22">
        <v>19.3</v>
      </c>
      <c r="C74" s="23" t="s">
        <v>43</v>
      </c>
      <c r="D74" s="233" t="s">
        <v>454</v>
      </c>
      <c r="E74" s="172" t="s">
        <v>151</v>
      </c>
      <c r="F74" s="25"/>
      <c r="G74" s="45">
        <f>IFERROR(VLOOKUP(tblRiskRegister[[#This Row],[Asset Class]],tblVCDBIndex[],4,FALSE),"")</f>
        <v>3</v>
      </c>
      <c r="H74" s="45" t="str">
        <f>IFERROR(VLOOKUP(10*tblRiskRegister[[#This Row],[Safeguard Maturity Score]]+tblRiskRegister[[#This Row],[VCDB Index]],tblHITIndexWeightTable[],4,FALSE),"")</f>
        <v/>
      </c>
      <c r="I74" s="45">
        <f>VLOOKUP(tblRiskRegister[[#This Row],[Asset Class]],tblImpactIndex[],2,FALSE)</f>
        <v>0</v>
      </c>
      <c r="J74" s="45">
        <f>VLOOKUP(tblRiskRegister[[#This Row],[Asset Class]],tblImpactIndex[],3,FALSE)</f>
        <v>0</v>
      </c>
      <c r="K74" s="45">
        <f>VLOOKUP(tblRiskRegister[[#This Row],[Asset Class]],tblImpactIndex[],4,FALSE)</f>
        <v>0</v>
      </c>
      <c r="L74" s="45" t="str">
        <f>IFERROR(MAX(tblRiskRegister[[#This Row],[Impact to Mission]:[Impact to Obligations]])*tblRiskRegister[[#This Row],[Expectancy Score]],"")</f>
        <v/>
      </c>
      <c r="M74" s="45" t="str">
        <f>tblRiskRegister[[#This Row],[Risk Score]]</f>
        <v/>
      </c>
      <c r="N74" s="203"/>
      <c r="O74" s="37">
        <v>19.3</v>
      </c>
      <c r="P74" s="24" t="s">
        <v>43</v>
      </c>
      <c r="Q74" s="24" t="s">
        <v>206</v>
      </c>
      <c r="R74" s="24"/>
      <c r="S74" s="25"/>
      <c r="T74" s="46" t="str">
        <f>IFERROR(VLOOKUP(10*tblRiskRegister[[#This Row],[Risk Treatment Safeguard Maturity Score]]+tblRiskRegister[[#This Row],[VCDB Index]],tblHITIndexWeightTable[],4,FALSE),"")</f>
        <v/>
      </c>
      <c r="U74" s="46">
        <f>VLOOKUP(tblRiskRegister[[#This Row],[Asset Class]],tblImpactIndex[],2,FALSE)</f>
        <v>0</v>
      </c>
      <c r="V74" s="46">
        <f>VLOOKUP(tblRiskRegister[[#This Row],[Asset Class]],tblImpactIndex[],3,FALSE)</f>
        <v>0</v>
      </c>
      <c r="W74" s="46">
        <f>VLOOKUP(tblRiskRegister[[#This Row],[Asset Class]],tblImpactIndex[],4,FALSE)</f>
        <v>0</v>
      </c>
      <c r="X74" s="46" t="str">
        <f>IFERROR(MAX(tblRiskRegister[[#This Row],[Risk Treatment Safeguard Impact to Mission]:[Risk Treatment Safeguard Impact to Obligations]])*tblRiskRegister[[#This Row],[Risk Treatment
Safeguard Expectancy Score]],"")</f>
        <v/>
      </c>
      <c r="Y74" s="46" t="str">
        <f>IF(tblRiskRegister[[#This Row],[Risk Score]]&gt;5,IF(tblRiskRegister[[#This Row],[Risk Treatment Safeguard Risk Score]]&lt;6, IF(tblRiskRegister[[#This Row],[Risk Treatment Safeguard Risk Score]]&lt;=tblRiskRegister[[#This Row],[Risk Score]],"Yes","No"),"No"),"Yes")</f>
        <v>No</v>
      </c>
      <c r="Z74" s="26"/>
      <c r="AA74" s="26"/>
      <c r="AB74" s="27"/>
    </row>
    <row r="75" spans="2:28" ht="114.75" x14ac:dyDescent="0.2">
      <c r="B75" s="22">
        <v>19.5</v>
      </c>
      <c r="C75" s="23" t="s">
        <v>44</v>
      </c>
      <c r="D75" s="233" t="s">
        <v>454</v>
      </c>
      <c r="E75" s="172" t="s">
        <v>151</v>
      </c>
      <c r="F75" s="25"/>
      <c r="G75" s="45">
        <f>IFERROR(VLOOKUP(tblRiskRegister[[#This Row],[Asset Class]],tblVCDBIndex[],4,FALSE),"")</f>
        <v>3</v>
      </c>
      <c r="H75" s="45" t="str">
        <f>IFERROR(VLOOKUP(10*tblRiskRegister[[#This Row],[Safeguard Maturity Score]]+tblRiskRegister[[#This Row],[VCDB Index]],tblHITIndexWeightTable[],4,FALSE),"")</f>
        <v/>
      </c>
      <c r="I75" s="45">
        <f>VLOOKUP(tblRiskRegister[[#This Row],[Asset Class]],tblImpactIndex[],2,FALSE)</f>
        <v>0</v>
      </c>
      <c r="J75" s="45">
        <f>VLOOKUP(tblRiskRegister[[#This Row],[Asset Class]],tblImpactIndex[],3,FALSE)</f>
        <v>0</v>
      </c>
      <c r="K75" s="45">
        <f>VLOOKUP(tblRiskRegister[[#This Row],[Asset Class]],tblImpactIndex[],4,FALSE)</f>
        <v>0</v>
      </c>
      <c r="L75" s="45" t="str">
        <f>IFERROR(MAX(tblRiskRegister[[#This Row],[Impact to Mission]:[Impact to Obligations]])*tblRiskRegister[[#This Row],[Expectancy Score]],"")</f>
        <v/>
      </c>
      <c r="M75" s="45" t="str">
        <f>tblRiskRegister[[#This Row],[Risk Score]]</f>
        <v/>
      </c>
      <c r="N75" s="203"/>
      <c r="O75" s="37">
        <v>19.5</v>
      </c>
      <c r="P75" s="24" t="s">
        <v>44</v>
      </c>
      <c r="Q75" s="24" t="s">
        <v>207</v>
      </c>
      <c r="R75" s="24"/>
      <c r="S75" s="25"/>
      <c r="T75" s="46" t="str">
        <f>IFERROR(VLOOKUP(10*tblRiskRegister[[#This Row],[Risk Treatment Safeguard Maturity Score]]+tblRiskRegister[[#This Row],[VCDB Index]],tblHITIndexWeightTable[],4,FALSE),"")</f>
        <v/>
      </c>
      <c r="U75" s="46">
        <f>VLOOKUP(tblRiskRegister[[#This Row],[Asset Class]],tblImpactIndex[],2,FALSE)</f>
        <v>0</v>
      </c>
      <c r="V75" s="46">
        <f>VLOOKUP(tblRiskRegister[[#This Row],[Asset Class]],tblImpactIndex[],3,FALSE)</f>
        <v>0</v>
      </c>
      <c r="W75" s="46">
        <f>VLOOKUP(tblRiskRegister[[#This Row],[Asset Class]],tblImpactIndex[],4,FALSE)</f>
        <v>0</v>
      </c>
      <c r="X75" s="46" t="str">
        <f>IFERROR(MAX(tblRiskRegister[[#This Row],[Risk Treatment Safeguard Impact to Mission]:[Risk Treatment Safeguard Impact to Obligations]])*tblRiskRegister[[#This Row],[Risk Treatment
Safeguard Expectancy Score]],"")</f>
        <v/>
      </c>
      <c r="Y75" s="46" t="str">
        <f>IF(tblRiskRegister[[#This Row],[Risk Score]]&gt;5,IF(tblRiskRegister[[#This Row],[Risk Treatment Safeguard Risk Score]]&lt;6, IF(tblRiskRegister[[#This Row],[Risk Treatment Safeguard Risk Score]]&lt;=tblRiskRegister[[#This Row],[Risk Score]],"Yes","No"),"No"),"Yes")</f>
        <v>No</v>
      </c>
      <c r="Z75" s="26"/>
      <c r="AA75" s="26"/>
      <c r="AB75" s="27"/>
    </row>
    <row r="76" spans="2:28" ht="127.5" x14ac:dyDescent="0.2">
      <c r="B76" s="22">
        <v>19.600000000000001</v>
      </c>
      <c r="C76" s="23" t="s">
        <v>45</v>
      </c>
      <c r="D76" s="233" t="s">
        <v>454</v>
      </c>
      <c r="E76" s="172" t="s">
        <v>151</v>
      </c>
      <c r="F76" s="25"/>
      <c r="G76" s="45">
        <f>IFERROR(VLOOKUP(tblRiskRegister[[#This Row],[Asset Class]],tblVCDBIndex[],4,FALSE),"")</f>
        <v>3</v>
      </c>
      <c r="H76" s="45" t="str">
        <f>IFERROR(VLOOKUP(10*tblRiskRegister[[#This Row],[Safeguard Maturity Score]]+tblRiskRegister[[#This Row],[VCDB Index]],tblHITIndexWeightTable[],4,FALSE),"")</f>
        <v/>
      </c>
      <c r="I76" s="45">
        <f>VLOOKUP(tblRiskRegister[[#This Row],[Asset Class]],tblImpactIndex[],2,FALSE)</f>
        <v>0</v>
      </c>
      <c r="J76" s="45">
        <f>VLOOKUP(tblRiskRegister[[#This Row],[Asset Class]],tblImpactIndex[],3,FALSE)</f>
        <v>0</v>
      </c>
      <c r="K76" s="45">
        <f>VLOOKUP(tblRiskRegister[[#This Row],[Asset Class]],tblImpactIndex[],4,FALSE)</f>
        <v>0</v>
      </c>
      <c r="L76" s="45" t="str">
        <f>IFERROR(MAX(tblRiskRegister[[#This Row],[Impact to Mission]:[Impact to Obligations]])*tblRiskRegister[[#This Row],[Expectancy Score]],"")</f>
        <v/>
      </c>
      <c r="M76" s="45" t="str">
        <f>tblRiskRegister[[#This Row],[Risk Score]]</f>
        <v/>
      </c>
      <c r="N76" s="203"/>
      <c r="O76" s="37">
        <v>19.600000000000001</v>
      </c>
      <c r="P76" s="24" t="s">
        <v>45</v>
      </c>
      <c r="Q76" s="24" t="s">
        <v>208</v>
      </c>
      <c r="R76" s="24"/>
      <c r="S76" s="25"/>
      <c r="T76" s="46" t="str">
        <f>IFERROR(VLOOKUP(10*tblRiskRegister[[#This Row],[Risk Treatment Safeguard Maturity Score]]+tblRiskRegister[[#This Row],[VCDB Index]],tblHITIndexWeightTable[],4,FALSE),"")</f>
        <v/>
      </c>
      <c r="U76" s="46">
        <f>VLOOKUP(tblRiskRegister[[#This Row],[Asset Class]],tblImpactIndex[],2,FALSE)</f>
        <v>0</v>
      </c>
      <c r="V76" s="46">
        <f>VLOOKUP(tblRiskRegister[[#This Row],[Asset Class]],tblImpactIndex[],3,FALSE)</f>
        <v>0</v>
      </c>
      <c r="W76" s="46">
        <f>VLOOKUP(tblRiskRegister[[#This Row],[Asset Class]],tblImpactIndex[],4,FALSE)</f>
        <v>0</v>
      </c>
      <c r="X76" s="46" t="str">
        <f>IFERROR(MAX(tblRiskRegister[[#This Row],[Risk Treatment Safeguard Impact to Mission]:[Risk Treatment Safeguard Impact to Obligations]])*tblRiskRegister[[#This Row],[Risk Treatment
Safeguard Expectancy Score]],"")</f>
        <v/>
      </c>
      <c r="Y76" s="46" t="str">
        <f>IF(tblRiskRegister[[#This Row],[Risk Score]]&gt;5,IF(tblRiskRegister[[#This Row],[Risk Treatment Safeguard Risk Score]]&lt;6, IF(tblRiskRegister[[#This Row],[Risk Treatment Safeguard Risk Score]]&lt;=tblRiskRegister[[#This Row],[Risk Score]],"Yes","No"),"No"),"Yes")</f>
        <v>No</v>
      </c>
      <c r="Z76" s="26"/>
      <c r="AA76" s="26"/>
      <c r="AB76" s="27"/>
    </row>
  </sheetData>
  <sheetProtection sheet="1" formatCells="0" formatColumns="0" formatRows="0" insertRows="0" sort="0" autoFilter="0" pivotTables="0"/>
  <mergeCells count="13">
    <mergeCell ref="B2:B4"/>
    <mergeCell ref="D2:E2"/>
    <mergeCell ref="D3:E3"/>
    <mergeCell ref="D4:E4"/>
    <mergeCell ref="C8:F8"/>
    <mergeCell ref="AD31:AF31"/>
    <mergeCell ref="N31:AB31"/>
    <mergeCell ref="C31:L31"/>
    <mergeCell ref="H8:I14"/>
    <mergeCell ref="H18:H26"/>
    <mergeCell ref="F20:G20"/>
    <mergeCell ref="F21:G26"/>
    <mergeCell ref="C18:E18"/>
  </mergeCells>
  <conditionalFormatting sqref="M34:N76">
    <cfRule type="iconSet" priority="48">
      <iconSet showValue="0" reverse="1">
        <cfvo type="percent" val="0"/>
        <cfvo type="num" val="6"/>
        <cfvo type="num" val="6" gte="0"/>
      </iconSet>
    </cfRule>
    <cfRule type="iconSet" priority="49">
      <iconSet showValue="0" reverse="1">
        <cfvo type="percent" val="0"/>
        <cfvo type="num" val="6"/>
        <cfvo type="num" val="15"/>
      </iconSet>
    </cfRule>
    <cfRule type="iconSet" priority="50">
      <iconSet>
        <cfvo type="percent" val="0"/>
        <cfvo type="percent" val="33"/>
        <cfvo type="percent" val="67"/>
      </iconSet>
    </cfRule>
  </conditionalFormatting>
  <dataValidations count="6">
    <dataValidation type="list" allowBlank="1" showInputMessage="1" showErrorMessage="1" sqref="F34:F76 S34:S76" xr:uid="{C706CF28-DC11-48B4-A0FE-B28E5E8976DD}">
      <formula1>Maturity_Score</formula1>
    </dataValidation>
    <dataValidation type="list" allowBlank="1" showInputMessage="1" showErrorMessage="1" sqref="AB34:AB76" xr:uid="{2140E50C-48B6-42D0-B6C2-DE4EFCBDB057}">
      <formula1>"2021,2022,2023,2024,2025,2026,2027,2028,2029,2030,2031"</formula1>
    </dataValidation>
    <dataValidation type="list" allowBlank="1" showInputMessage="1" showErrorMessage="1" sqref="E34:E76" xr:uid="{A6A9D8E1-EFC3-4451-81B3-E2998D131B52}">
      <formula1>Asset_Class</formula1>
    </dataValidation>
    <dataValidation type="list" allowBlank="1" showInputMessage="1" showErrorMessage="1" sqref="AA34:AA76" xr:uid="{93CDAE0B-9984-4E29-80B7-7C6A0FAE2467}">
      <formula1>"Q1, Q2, Q3, Q4"</formula1>
    </dataValidation>
    <dataValidation type="list" allowBlank="1" showInputMessage="1" showErrorMessage="1" sqref="C21:E26" xr:uid="{521325BF-FDF2-4C0F-9C4D-F0A12191DD7B}">
      <formula1>"1,2,3"</formula1>
    </dataValidation>
    <dataValidation type="list" allowBlank="1" showInputMessage="1" showErrorMessage="1" sqref="N34:N76" xr:uid="{1037AC46-229F-4F68-9474-AE21DAE81B83}">
      <formula1>"Accept,Reduce"</formula1>
    </dataValidation>
  </dataValidation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584CF-2634-4D78-B712-49EC238B69A8}">
  <sheetPr codeName="Sheet4">
    <tabColor rgb="FF0070C0"/>
  </sheetPr>
  <dimension ref="B2:AF89"/>
  <sheetViews>
    <sheetView showGridLines="0" zoomScaleNormal="100" workbookViewId="0">
      <selection activeCell="B2" sqref="B2:B4"/>
    </sheetView>
  </sheetViews>
  <sheetFormatPr defaultColWidth="9.140625" defaultRowHeight="12.75" x14ac:dyDescent="0.2"/>
  <cols>
    <col min="1" max="1" width="9.140625" style="2"/>
    <col min="2" max="2" width="21.5703125" style="2" bestFit="1" customWidth="1"/>
    <col min="3" max="3" width="20.7109375" style="17" customWidth="1"/>
    <col min="4" max="6" width="20.7109375" style="2" customWidth="1"/>
    <col min="7" max="12" width="12" style="2" customWidth="1"/>
    <col min="13" max="13" width="12.140625" style="2" customWidth="1"/>
    <col min="14" max="14" width="20.5703125" style="2" customWidth="1"/>
    <col min="15" max="15" width="26.42578125" style="2" customWidth="1"/>
    <col min="16" max="16" width="76.42578125" style="2" customWidth="1"/>
    <col min="17" max="17" width="89.7109375" style="2" customWidth="1"/>
    <col min="18" max="18" width="22.42578125" style="2" customWidth="1"/>
    <col min="19" max="19" width="18.140625" style="2" customWidth="1"/>
    <col min="20" max="20" width="20.42578125" style="2" customWidth="1"/>
    <col min="21" max="26" width="15.5703125" style="2" customWidth="1"/>
    <col min="27" max="27" width="17.42578125" style="2" customWidth="1"/>
    <col min="28" max="28" width="12.85546875" style="2" customWidth="1"/>
    <col min="29" max="29" width="20.140625" style="2" customWidth="1"/>
    <col min="30" max="30" width="9.140625" style="2"/>
    <col min="31" max="31" width="14.140625" style="2" bestFit="1" customWidth="1"/>
    <col min="32" max="16384" width="9.140625" style="2"/>
  </cols>
  <sheetData>
    <row r="2" spans="2:14" x14ac:dyDescent="0.2">
      <c r="B2" s="266" t="s">
        <v>426</v>
      </c>
      <c r="C2" s="1" t="s">
        <v>152</v>
      </c>
      <c r="D2" s="269"/>
      <c r="E2" s="269"/>
    </row>
    <row r="3" spans="2:14" x14ac:dyDescent="0.2">
      <c r="B3" s="267"/>
      <c r="C3" s="1" t="s">
        <v>53</v>
      </c>
      <c r="D3" s="269"/>
      <c r="E3" s="269"/>
    </row>
    <row r="4" spans="2:14" x14ac:dyDescent="0.2">
      <c r="B4" s="268"/>
      <c r="C4" s="1" t="s">
        <v>54</v>
      </c>
      <c r="D4" s="270"/>
      <c r="E4" s="269"/>
    </row>
    <row r="6" spans="2:14" x14ac:dyDescent="0.2">
      <c r="B6" s="3"/>
      <c r="C6" s="4"/>
      <c r="D6" s="4"/>
      <c r="E6" s="4"/>
      <c r="F6" s="4"/>
      <c r="G6" s="4"/>
      <c r="H6" s="4"/>
      <c r="I6" s="4"/>
      <c r="J6" s="4"/>
      <c r="K6" s="4"/>
      <c r="L6" s="4"/>
      <c r="M6" s="4"/>
      <c r="N6" s="4"/>
    </row>
    <row r="8" spans="2:14" x14ac:dyDescent="0.2">
      <c r="B8" s="5" t="s">
        <v>48</v>
      </c>
      <c r="C8" s="271"/>
      <c r="D8" s="271"/>
      <c r="E8" s="271"/>
      <c r="F8" s="271"/>
      <c r="H8" s="260"/>
      <c r="I8" s="260"/>
    </row>
    <row r="9" spans="2:14" x14ac:dyDescent="0.2">
      <c r="C9" s="2"/>
      <c r="H9" s="260"/>
      <c r="I9" s="260"/>
    </row>
    <row r="10" spans="2:14" ht="25.5" x14ac:dyDescent="0.2">
      <c r="B10" s="6" t="s">
        <v>5</v>
      </c>
      <c r="C10" s="7" t="s">
        <v>6</v>
      </c>
      <c r="D10" s="7" t="s">
        <v>153</v>
      </c>
      <c r="E10" s="47" t="s">
        <v>154</v>
      </c>
      <c r="F10" s="7" t="s">
        <v>52</v>
      </c>
      <c r="H10" s="260"/>
      <c r="I10" s="260"/>
    </row>
    <row r="11" spans="2:14" ht="38.25" x14ac:dyDescent="0.2">
      <c r="B11" s="8" t="s">
        <v>4</v>
      </c>
      <c r="C11" s="38"/>
      <c r="D11" s="38"/>
      <c r="E11" s="39" t="s">
        <v>67</v>
      </c>
      <c r="F11" s="38"/>
      <c r="H11" s="260"/>
      <c r="I11" s="260"/>
    </row>
    <row r="12" spans="2:14" ht="25.5" x14ac:dyDescent="0.2">
      <c r="B12" s="9" t="s">
        <v>61</v>
      </c>
      <c r="C12" s="10" t="s">
        <v>56</v>
      </c>
      <c r="D12" s="10" t="s">
        <v>58</v>
      </c>
      <c r="E12" s="11"/>
      <c r="F12" s="10" t="s">
        <v>64</v>
      </c>
      <c r="H12" s="260"/>
      <c r="I12" s="260"/>
    </row>
    <row r="13" spans="2:14" ht="51" x14ac:dyDescent="0.2">
      <c r="B13" s="9" t="s">
        <v>62</v>
      </c>
      <c r="C13" s="10" t="s">
        <v>57</v>
      </c>
      <c r="D13" s="10" t="s">
        <v>59</v>
      </c>
      <c r="E13" s="11"/>
      <c r="F13" s="10" t="s">
        <v>65</v>
      </c>
      <c r="H13" s="260"/>
      <c r="I13" s="260"/>
    </row>
    <row r="14" spans="2:14" ht="38.25" x14ac:dyDescent="0.2">
      <c r="B14" s="9" t="s">
        <v>63</v>
      </c>
      <c r="C14" s="10" t="s">
        <v>55</v>
      </c>
      <c r="D14" s="10" t="s">
        <v>60</v>
      </c>
      <c r="E14" s="12"/>
      <c r="F14" s="10" t="s">
        <v>66</v>
      </c>
      <c r="H14" s="260"/>
      <c r="I14" s="260"/>
    </row>
    <row r="16" spans="2:14" x14ac:dyDescent="0.2">
      <c r="B16" s="3"/>
      <c r="C16" s="4"/>
      <c r="D16" s="4"/>
      <c r="E16" s="4"/>
      <c r="F16" s="4"/>
      <c r="G16" s="4"/>
      <c r="H16" s="4"/>
      <c r="I16" s="4"/>
      <c r="J16" s="4"/>
      <c r="K16" s="4"/>
      <c r="L16" s="4"/>
      <c r="M16" s="4"/>
      <c r="N16" s="4"/>
    </row>
    <row r="18" spans="2:32" ht="80.25" customHeight="1" x14ac:dyDescent="0.2">
      <c r="B18" s="5" t="s">
        <v>69</v>
      </c>
      <c r="C18" s="263" t="s">
        <v>390</v>
      </c>
      <c r="D18" s="264"/>
      <c r="E18" s="265"/>
      <c r="H18" s="261"/>
    </row>
    <row r="19" spans="2:32" x14ac:dyDescent="0.2">
      <c r="B19" s="13"/>
      <c r="C19" s="14"/>
      <c r="D19" s="14"/>
      <c r="E19" s="14"/>
      <c r="H19" s="261"/>
    </row>
    <row r="20" spans="2:32" ht="25.5" x14ac:dyDescent="0.2">
      <c r="B20" s="6" t="s">
        <v>51</v>
      </c>
      <c r="C20" s="7" t="s">
        <v>46</v>
      </c>
      <c r="D20" s="7" t="s">
        <v>155</v>
      </c>
      <c r="E20" s="7" t="s">
        <v>47</v>
      </c>
      <c r="F20" s="262"/>
      <c r="G20" s="262"/>
      <c r="H20" s="261"/>
    </row>
    <row r="21" spans="2:32" x14ac:dyDescent="0.2">
      <c r="B21" s="9" t="s">
        <v>151</v>
      </c>
      <c r="C21" s="40"/>
      <c r="D21" s="40"/>
      <c r="E21" s="40"/>
      <c r="F21" s="262"/>
      <c r="G21" s="262"/>
      <c r="H21" s="261"/>
    </row>
    <row r="22" spans="2:32" x14ac:dyDescent="0.2">
      <c r="B22" s="16" t="s">
        <v>147</v>
      </c>
      <c r="C22" s="15"/>
      <c r="D22" s="15"/>
      <c r="E22" s="15"/>
      <c r="F22" s="262"/>
      <c r="G22" s="262"/>
      <c r="H22" s="261"/>
    </row>
    <row r="23" spans="2:32" x14ac:dyDescent="0.2">
      <c r="B23" s="16" t="s">
        <v>148</v>
      </c>
      <c r="C23" s="15"/>
      <c r="D23" s="15"/>
      <c r="E23" s="15"/>
      <c r="F23" s="262"/>
      <c r="G23" s="262"/>
      <c r="H23" s="261"/>
    </row>
    <row r="24" spans="2:32" x14ac:dyDescent="0.2">
      <c r="B24" s="16" t="s">
        <v>146</v>
      </c>
      <c r="C24" s="15"/>
      <c r="D24" s="15"/>
      <c r="E24" s="15"/>
      <c r="F24" s="262"/>
      <c r="G24" s="262"/>
      <c r="H24" s="261"/>
    </row>
    <row r="25" spans="2:32" x14ac:dyDescent="0.2">
      <c r="B25" s="16" t="s">
        <v>149</v>
      </c>
      <c r="C25" s="15"/>
      <c r="D25" s="15"/>
      <c r="E25" s="15"/>
      <c r="F25" s="262"/>
      <c r="G25" s="262"/>
      <c r="H25" s="261"/>
    </row>
    <row r="26" spans="2:32" x14ac:dyDescent="0.2">
      <c r="B26" s="16" t="s">
        <v>150</v>
      </c>
      <c r="C26" s="15"/>
      <c r="D26" s="15"/>
      <c r="E26" s="15"/>
      <c r="F26" s="262"/>
      <c r="G26" s="262"/>
      <c r="H26" s="261"/>
    </row>
    <row r="29" spans="2:32" x14ac:dyDescent="0.2">
      <c r="B29" s="3"/>
      <c r="C29" s="4"/>
      <c r="D29" s="4"/>
      <c r="E29" s="4"/>
      <c r="F29" s="4"/>
      <c r="G29" s="4"/>
      <c r="H29" s="4"/>
      <c r="I29" s="4"/>
      <c r="J29" s="4"/>
      <c r="K29" s="4"/>
      <c r="L29" s="4"/>
      <c r="M29" s="4"/>
      <c r="N29" s="4"/>
      <c r="O29" s="4"/>
      <c r="P29" s="4"/>
      <c r="Q29" s="4"/>
      <c r="R29" s="4"/>
      <c r="S29" s="4"/>
      <c r="T29" s="4"/>
      <c r="U29" s="4"/>
      <c r="V29" s="4"/>
      <c r="W29" s="4"/>
      <c r="X29" s="4"/>
      <c r="Y29" s="4"/>
      <c r="Z29" s="4"/>
      <c r="AA29" s="4"/>
      <c r="AB29" s="4"/>
    </row>
    <row r="31" spans="2:32" ht="25.5" x14ac:dyDescent="0.2">
      <c r="B31" s="34" t="s">
        <v>68</v>
      </c>
      <c r="C31" s="257" t="s">
        <v>267</v>
      </c>
      <c r="D31" s="258"/>
      <c r="E31" s="258"/>
      <c r="F31" s="258"/>
      <c r="G31" s="258"/>
      <c r="H31" s="258"/>
      <c r="I31" s="258"/>
      <c r="J31" s="258"/>
      <c r="K31" s="258"/>
      <c r="L31" s="259"/>
      <c r="M31" s="34" t="s">
        <v>68</v>
      </c>
      <c r="N31" s="256" t="s">
        <v>265</v>
      </c>
      <c r="O31" s="256"/>
      <c r="P31" s="256"/>
      <c r="Q31" s="256"/>
      <c r="R31" s="256"/>
      <c r="S31" s="256"/>
      <c r="T31" s="256"/>
      <c r="U31" s="256"/>
      <c r="V31" s="256"/>
      <c r="W31" s="256"/>
      <c r="X31" s="256"/>
      <c r="Y31" s="256"/>
      <c r="Z31" s="256"/>
      <c r="AA31" s="256"/>
      <c r="AB31" s="256"/>
      <c r="AD31" s="253" t="s">
        <v>427</v>
      </c>
      <c r="AE31" s="254"/>
      <c r="AF31" s="255"/>
    </row>
    <row r="33" spans="2:32" s="20" customFormat="1" ht="77.25" thickBot="1" x14ac:dyDescent="0.25">
      <c r="B33" s="18" t="s">
        <v>168</v>
      </c>
      <c r="C33" s="18" t="s">
        <v>169</v>
      </c>
      <c r="D33" s="18" t="s">
        <v>448</v>
      </c>
      <c r="E33" s="18" t="s">
        <v>51</v>
      </c>
      <c r="F33" s="43" t="s">
        <v>286</v>
      </c>
      <c r="G33" s="18" t="s">
        <v>49</v>
      </c>
      <c r="H33" s="18" t="s">
        <v>424</v>
      </c>
      <c r="I33" s="18" t="s">
        <v>0</v>
      </c>
      <c r="J33" s="18" t="s">
        <v>156</v>
      </c>
      <c r="K33" s="18" t="s">
        <v>1</v>
      </c>
      <c r="L33" s="18" t="s">
        <v>2</v>
      </c>
      <c r="M33" s="18" t="s">
        <v>3</v>
      </c>
      <c r="N33" s="7" t="s">
        <v>293</v>
      </c>
      <c r="O33" s="19" t="s">
        <v>70</v>
      </c>
      <c r="P33" s="19" t="s">
        <v>74</v>
      </c>
      <c r="Q33" s="19" t="s">
        <v>75</v>
      </c>
      <c r="R33" s="47" t="s">
        <v>171</v>
      </c>
      <c r="S33" s="7" t="s">
        <v>287</v>
      </c>
      <c r="T33" s="19" t="s">
        <v>425</v>
      </c>
      <c r="U33" s="19" t="s">
        <v>76</v>
      </c>
      <c r="V33" s="19" t="s">
        <v>157</v>
      </c>
      <c r="W33" s="19" t="s">
        <v>77</v>
      </c>
      <c r="X33" s="19" t="s">
        <v>79</v>
      </c>
      <c r="Y33" s="19" t="s">
        <v>266</v>
      </c>
      <c r="Z33" s="47" t="s">
        <v>78</v>
      </c>
      <c r="AA33" s="47" t="s">
        <v>163</v>
      </c>
      <c r="AB33" s="47" t="s">
        <v>71</v>
      </c>
      <c r="AD33" s="21" t="s">
        <v>158</v>
      </c>
      <c r="AE33" s="21" t="s">
        <v>72</v>
      </c>
      <c r="AF33" s="21" t="s">
        <v>73</v>
      </c>
    </row>
    <row r="34" spans="2:32" ht="128.25" thickTop="1" x14ac:dyDescent="0.2">
      <c r="B34" s="29">
        <v>1.1000000000000001</v>
      </c>
      <c r="C34" s="30" t="s">
        <v>94</v>
      </c>
      <c r="D34" s="234" t="s">
        <v>449</v>
      </c>
      <c r="E34" s="30" t="s">
        <v>147</v>
      </c>
      <c r="F34" s="25"/>
      <c r="G34" s="45">
        <f>IFERROR(VLOOKUP(tblRiskRegister15[[#This Row],[Asset Class]],tblVCDBIndex[],4,FALSE),"")</f>
        <v>1</v>
      </c>
      <c r="H34" s="45" t="str">
        <f>IFERROR(VLOOKUP(10*tblRiskRegister15[[#This Row],[Safeguard Maturity Score]]+tblRiskRegister15[[#This Row],[VCDB Index]],tblHITIndexWeightTable[],4,FALSE),"")</f>
        <v/>
      </c>
      <c r="I34" s="45">
        <f>VLOOKUP(tblRiskRegister15[[#This Row],[Asset Class]],tblImpactIndex17[],2,FALSE)</f>
        <v>0</v>
      </c>
      <c r="J34" s="45">
        <f>VLOOKUP(tblRiskRegister15[[#This Row],[Asset Class]],tblImpactIndex17[],3,FALSE)</f>
        <v>0</v>
      </c>
      <c r="K34" s="45">
        <f>VLOOKUP(tblRiskRegister15[[#This Row],[Asset Class]],tblImpactIndex17[],4,FALSE)</f>
        <v>0</v>
      </c>
      <c r="L34" s="45" t="str">
        <f>IFERROR(MAX(tblRiskRegister15[[#This Row],[Impact to Mission]:[Impact to Obligations]])*tblRiskRegister15[[#This Row],[Expectancy Score]],"")</f>
        <v/>
      </c>
      <c r="M34" s="45" t="str">
        <f>tblRiskRegister15[[#This Row],[Risk Score]]</f>
        <v/>
      </c>
      <c r="N34" s="203"/>
      <c r="O34" s="29">
        <v>1.1000000000000001</v>
      </c>
      <c r="P34" s="30" t="s">
        <v>94</v>
      </c>
      <c r="Q34" s="30" t="s">
        <v>209</v>
      </c>
      <c r="R34" s="24"/>
      <c r="S34" s="25"/>
      <c r="T34" s="44" t="str">
        <f>IFERROR(VLOOKUP(10*tblRiskRegister15[[#This Row],[Risk Treatment Safeguard Maturity Score]]+tblRiskRegister15[[#This Row],[VCDB Index]],tblHITIndexWeightTable[],4,FALSE),"")</f>
        <v/>
      </c>
      <c r="U34" s="44">
        <f>VLOOKUP(tblRiskRegister15[[#This Row],[Asset Class]],tblImpactIndex17[],2,FALSE)</f>
        <v>0</v>
      </c>
      <c r="V34" s="44">
        <f>VLOOKUP(tblRiskRegister15[[#This Row],[Asset Class]],tblImpactIndex17[],3,FALSE)</f>
        <v>0</v>
      </c>
      <c r="W34" s="44">
        <f>VLOOKUP(tblRiskRegister15[[#This Row],[Asset Class]],tblImpactIndex17[],4,FALSE)</f>
        <v>0</v>
      </c>
      <c r="X34" s="44" t="str">
        <f>IFERROR(MAX(tblRiskRegister15[[#This Row],[Risk Treatment Safeguard Impact to Mission]:[Risk Treatment Safeguard Impact to Obligations]])*tblRiskRegister15[[#This Row],[Risk Treatment
Safeguard Expectancy Score]],"")</f>
        <v/>
      </c>
      <c r="Y34" s="46" t="str">
        <f>IF(tblRiskRegister15[[#This Row],[Risk Score]]&gt;5,IF(tblRiskRegister15[[#This Row],[Risk Treatment Safeguard Risk Score]]&lt;6, IF(tblRiskRegister15[[#This Row],[Risk Treatment Safeguard Risk Score]]&lt;=tblRiskRegister15[[#This Row],[Risk Score]],"Yes","No"),"No"),"Yes")</f>
        <v>No</v>
      </c>
      <c r="Z34" s="26"/>
      <c r="AA34" s="26"/>
      <c r="AB34" s="27"/>
      <c r="AD34" s="28">
        <f>SUMIF(tblRiskRegister15[[#All],[Implementation Year]],"="&amp;tblCostImpacts16[[#This Row],[Year]],tblRiskRegister15[[#All],[Risk Treatment Safeguard Cost]])</f>
        <v>0</v>
      </c>
      <c r="AE34" s="13">
        <v>2021</v>
      </c>
      <c r="AF34" s="13" t="str">
        <f>IF(tblCostImpacts16[[#This Row],[Impact to Financial Objectives]]&lt;=$E$12,"Yes","No")</f>
        <v>Yes</v>
      </c>
    </row>
    <row r="35" spans="2:32" ht="38.25" x14ac:dyDescent="0.2">
      <c r="B35" s="29">
        <v>1.2</v>
      </c>
      <c r="C35" s="30" t="s">
        <v>16</v>
      </c>
      <c r="D35" s="235" t="s">
        <v>450</v>
      </c>
      <c r="E35" s="30" t="s">
        <v>147</v>
      </c>
      <c r="F35" s="25"/>
      <c r="G35" s="45">
        <f>IFERROR(VLOOKUP(tblRiskRegister15[[#This Row],[Asset Class]],tblVCDBIndex[],4,FALSE),"")</f>
        <v>1</v>
      </c>
      <c r="H35" s="45" t="str">
        <f>IFERROR(VLOOKUP(10*tblRiskRegister15[[#This Row],[Safeguard Maturity Score]]+tblRiskRegister15[[#This Row],[VCDB Index]],tblHITIndexWeightTable[],4,FALSE),"")</f>
        <v/>
      </c>
      <c r="I35" s="45">
        <f>VLOOKUP(tblRiskRegister15[[#This Row],[Asset Class]],tblImpactIndex17[],2,FALSE)</f>
        <v>0</v>
      </c>
      <c r="J35" s="45">
        <f>VLOOKUP(tblRiskRegister15[[#This Row],[Asset Class]],tblImpactIndex17[],3,FALSE)</f>
        <v>0</v>
      </c>
      <c r="K35" s="45">
        <f>VLOOKUP(tblRiskRegister15[[#This Row],[Asset Class]],tblImpactIndex17[],4,FALSE)</f>
        <v>0</v>
      </c>
      <c r="L35" s="45" t="str">
        <f>IFERROR(MAX(tblRiskRegister15[[#This Row],[Impact to Mission]:[Impact to Obligations]])*tblRiskRegister15[[#This Row],[Expectancy Score]],"")</f>
        <v/>
      </c>
      <c r="M35" s="45" t="str">
        <f>tblRiskRegister15[[#This Row],[Risk Score]]</f>
        <v/>
      </c>
      <c r="N35" s="203"/>
      <c r="O35" s="29">
        <v>1.2</v>
      </c>
      <c r="P35" s="30" t="s">
        <v>16</v>
      </c>
      <c r="Q35" s="30" t="s">
        <v>210</v>
      </c>
      <c r="R35" s="24"/>
      <c r="S35" s="25"/>
      <c r="T35" s="46" t="str">
        <f>IFERROR(VLOOKUP(10*tblRiskRegister15[[#This Row],[Risk Treatment Safeguard Maturity Score]]+tblRiskRegister15[[#This Row],[VCDB Index]],tblHITIndexWeightTable[],4,FALSE),"")</f>
        <v/>
      </c>
      <c r="U35" s="46">
        <f>VLOOKUP(tblRiskRegister15[[#This Row],[Asset Class]],tblImpactIndex17[],2,FALSE)</f>
        <v>0</v>
      </c>
      <c r="V35" s="46">
        <f>VLOOKUP(tblRiskRegister15[[#This Row],[Asset Class]],tblImpactIndex17[],3,FALSE)</f>
        <v>0</v>
      </c>
      <c r="W35" s="46">
        <f>VLOOKUP(tblRiskRegister15[[#This Row],[Asset Class]],tblImpactIndex17[],4,FALSE)</f>
        <v>0</v>
      </c>
      <c r="X35" s="46" t="str">
        <f>IFERROR(MAX(tblRiskRegister15[[#This Row],[Risk Treatment Safeguard Impact to Mission]:[Risk Treatment Safeguard Impact to Obligations]])*tblRiskRegister15[[#This Row],[Risk Treatment
Safeguard Expectancy Score]],"")</f>
        <v/>
      </c>
      <c r="Y35" s="46" t="str">
        <f>IF(tblRiskRegister15[[#This Row],[Risk Score]]&gt;5,IF(tblRiskRegister15[[#This Row],[Risk Treatment Safeguard Risk Score]]&lt;6, IF(tblRiskRegister15[[#This Row],[Risk Treatment Safeguard Risk Score]]&lt;=tblRiskRegister15[[#This Row],[Risk Score]],"Yes","No"),"No"),"Yes")</f>
        <v>No</v>
      </c>
      <c r="Z35" s="26"/>
      <c r="AA35" s="26"/>
      <c r="AB35" s="27"/>
      <c r="AD35" s="28">
        <f>SUMIF(tblRiskRegister15[[#All],[Implementation Year]],"="&amp;tblCostImpacts16[[#This Row],[Year]],tblRiskRegister15[[#All],[Risk Treatment Safeguard Cost]])</f>
        <v>0</v>
      </c>
      <c r="AE35" s="13">
        <v>2022</v>
      </c>
      <c r="AF35" s="13" t="str">
        <f>IF(tblCostImpacts16[[#This Row],[Impact to Financial Objectives]]&lt;=$E$12,"Yes","No")</f>
        <v>Yes</v>
      </c>
    </row>
    <row r="36" spans="2:32" ht="63.75" x14ac:dyDescent="0.2">
      <c r="B36" s="29">
        <v>2.1</v>
      </c>
      <c r="C36" s="30" t="s">
        <v>95</v>
      </c>
      <c r="D36" s="235" t="s">
        <v>449</v>
      </c>
      <c r="E36" s="30" t="s">
        <v>148</v>
      </c>
      <c r="F36" s="25"/>
      <c r="G36" s="45">
        <f>IFERROR(VLOOKUP(tblRiskRegister15[[#This Row],[Asset Class]],tblVCDBIndex[],4,FALSE),"")</f>
        <v>2</v>
      </c>
      <c r="H36" s="45" t="str">
        <f>IFERROR(VLOOKUP(10*tblRiskRegister15[[#This Row],[Safeguard Maturity Score]]+tblRiskRegister15[[#This Row],[VCDB Index]],tblHITIndexWeightTable[],4,FALSE),"")</f>
        <v/>
      </c>
      <c r="I36" s="45">
        <f>VLOOKUP(tblRiskRegister15[[#This Row],[Asset Class]],tblImpactIndex17[],2,FALSE)</f>
        <v>0</v>
      </c>
      <c r="J36" s="45">
        <f>VLOOKUP(tblRiskRegister15[[#This Row],[Asset Class]],tblImpactIndex17[],3,FALSE)</f>
        <v>0</v>
      </c>
      <c r="K36" s="45">
        <f>VLOOKUP(tblRiskRegister15[[#This Row],[Asset Class]],tblImpactIndex17[],4,FALSE)</f>
        <v>0</v>
      </c>
      <c r="L36" s="45" t="str">
        <f>IFERROR(MAX(tblRiskRegister15[[#This Row],[Impact to Mission]:[Impact to Obligations]])*tblRiskRegister15[[#This Row],[Expectancy Score]],"")</f>
        <v/>
      </c>
      <c r="M36" s="45" t="str">
        <f>tblRiskRegister15[[#This Row],[Risk Score]]</f>
        <v/>
      </c>
      <c r="N36" s="203"/>
      <c r="O36" s="29">
        <v>2.1</v>
      </c>
      <c r="P36" s="30" t="s">
        <v>95</v>
      </c>
      <c r="Q36" s="30" t="s">
        <v>211</v>
      </c>
      <c r="R36" s="24"/>
      <c r="S36" s="25"/>
      <c r="T36" s="46" t="str">
        <f>IFERROR(VLOOKUP(10*tblRiskRegister15[[#This Row],[Risk Treatment Safeguard Maturity Score]]+tblRiskRegister15[[#This Row],[VCDB Index]],tblHITIndexWeightTable[],4,FALSE),"")</f>
        <v/>
      </c>
      <c r="U36" s="46">
        <f>VLOOKUP(tblRiskRegister15[[#This Row],[Asset Class]],tblImpactIndex17[],2,FALSE)</f>
        <v>0</v>
      </c>
      <c r="V36" s="46">
        <f>VLOOKUP(tblRiskRegister15[[#This Row],[Asset Class]],tblImpactIndex17[],3,FALSE)</f>
        <v>0</v>
      </c>
      <c r="W36" s="46">
        <f>VLOOKUP(tblRiskRegister15[[#This Row],[Asset Class]],tblImpactIndex17[],4,FALSE)</f>
        <v>0</v>
      </c>
      <c r="X36" s="46" t="str">
        <f>IFERROR(MAX(tblRiskRegister15[[#This Row],[Risk Treatment Safeguard Impact to Mission]:[Risk Treatment Safeguard Impact to Obligations]])*tblRiskRegister15[[#This Row],[Risk Treatment
Safeguard Expectancy Score]],"")</f>
        <v/>
      </c>
      <c r="Y36" s="46" t="str">
        <f>IF(tblRiskRegister15[[#This Row],[Risk Score]]&gt;5,IF(tblRiskRegister15[[#This Row],[Risk Treatment Safeguard Risk Score]]&lt;6, IF(tblRiskRegister15[[#This Row],[Risk Treatment Safeguard Risk Score]]&lt;=tblRiskRegister15[[#This Row],[Risk Score]],"Yes","No"),"No"),"Yes")</f>
        <v>No</v>
      </c>
      <c r="Z36" s="26"/>
      <c r="AA36" s="26"/>
      <c r="AB36" s="27"/>
      <c r="AD36" s="28">
        <f>SUMIF(tblRiskRegister15[[#All],[Implementation Year]],"="&amp;tblCostImpacts16[[#This Row],[Year]],tblRiskRegister15[[#All],[Risk Treatment Safeguard Cost]])</f>
        <v>0</v>
      </c>
      <c r="AE36" s="13">
        <v>2023</v>
      </c>
      <c r="AF36" s="13" t="str">
        <f>IF(tblCostImpacts16[[#This Row],[Impact to Financial Objectives]]&lt;=$E$12,"Yes","No")</f>
        <v>Yes</v>
      </c>
    </row>
    <row r="37" spans="2:32" ht="63.75" x14ac:dyDescent="0.2">
      <c r="B37" s="29">
        <v>2.2000000000000002</v>
      </c>
      <c r="C37" s="30" t="s">
        <v>96</v>
      </c>
      <c r="D37" s="235" t="s">
        <v>449</v>
      </c>
      <c r="E37" s="30" t="s">
        <v>148</v>
      </c>
      <c r="F37" s="25"/>
      <c r="G37" s="45">
        <f>IFERROR(VLOOKUP(tblRiskRegister15[[#This Row],[Asset Class]],tblVCDBIndex[],4,FALSE),"")</f>
        <v>2</v>
      </c>
      <c r="H37" s="45" t="str">
        <f>IFERROR(VLOOKUP(10*tblRiskRegister15[[#This Row],[Safeguard Maturity Score]]+tblRiskRegister15[[#This Row],[VCDB Index]],tblHITIndexWeightTable[],4,FALSE),"")</f>
        <v/>
      </c>
      <c r="I37" s="45">
        <f>VLOOKUP(tblRiskRegister15[[#This Row],[Asset Class]],tblImpactIndex17[],2,FALSE)</f>
        <v>0</v>
      </c>
      <c r="J37" s="45">
        <f>VLOOKUP(tblRiskRegister15[[#This Row],[Asset Class]],tblImpactIndex17[],3,FALSE)</f>
        <v>0</v>
      </c>
      <c r="K37" s="45">
        <f>VLOOKUP(tblRiskRegister15[[#This Row],[Asset Class]],tblImpactIndex17[],4,FALSE)</f>
        <v>0</v>
      </c>
      <c r="L37" s="45" t="str">
        <f>IFERROR(MAX(tblRiskRegister15[[#This Row],[Impact to Mission]:[Impact to Obligations]])*tblRiskRegister15[[#This Row],[Expectancy Score]],"")</f>
        <v/>
      </c>
      <c r="M37" s="45" t="str">
        <f>tblRiskRegister15[[#This Row],[Risk Score]]</f>
        <v/>
      </c>
      <c r="N37" s="203"/>
      <c r="O37" s="29">
        <v>2.2000000000000002</v>
      </c>
      <c r="P37" s="30" t="s">
        <v>96</v>
      </c>
      <c r="Q37" s="30" t="s">
        <v>212</v>
      </c>
      <c r="R37" s="24"/>
      <c r="S37" s="25"/>
      <c r="T37" s="46" t="str">
        <f>IFERROR(VLOOKUP(10*tblRiskRegister15[[#This Row],[Risk Treatment Safeguard Maturity Score]]+tblRiskRegister15[[#This Row],[VCDB Index]],tblHITIndexWeightTable[],4,FALSE),"")</f>
        <v/>
      </c>
      <c r="U37" s="46">
        <f>VLOOKUP(tblRiskRegister15[[#This Row],[Asset Class]],tblImpactIndex17[],2,FALSE)</f>
        <v>0</v>
      </c>
      <c r="V37" s="46">
        <f>VLOOKUP(tblRiskRegister15[[#This Row],[Asset Class]],tblImpactIndex17[],3,FALSE)</f>
        <v>0</v>
      </c>
      <c r="W37" s="46">
        <f>VLOOKUP(tblRiskRegister15[[#This Row],[Asset Class]],tblImpactIndex17[],4,FALSE)</f>
        <v>0</v>
      </c>
      <c r="X37" s="46" t="str">
        <f>IFERROR(MAX(tblRiskRegister15[[#This Row],[Risk Treatment Safeguard Impact to Mission]:[Risk Treatment Safeguard Impact to Obligations]])*tblRiskRegister15[[#This Row],[Risk Treatment
Safeguard Expectancy Score]],"")</f>
        <v/>
      </c>
      <c r="Y37" s="46" t="str">
        <f>IF(tblRiskRegister15[[#This Row],[Risk Score]]&gt;5,IF(tblRiskRegister15[[#This Row],[Risk Treatment Safeguard Risk Score]]&lt;6, IF(tblRiskRegister15[[#This Row],[Risk Treatment Safeguard Risk Score]]&lt;=tblRiskRegister15[[#This Row],[Risk Score]],"Yes","No"),"No"),"Yes")</f>
        <v>No</v>
      </c>
      <c r="Z37" s="26"/>
      <c r="AA37" s="26"/>
      <c r="AB37" s="27"/>
      <c r="AD37" s="28">
        <f>SUMIF(tblRiskRegister15[[#All],[Implementation Year]],"="&amp;tblCostImpacts16[[#This Row],[Year]],tblRiskRegister15[[#All],[Risk Treatment Safeguard Cost]])</f>
        <v>0</v>
      </c>
      <c r="AE37" s="13">
        <v>2024</v>
      </c>
      <c r="AF37" s="13" t="str">
        <f>IF(tblCostImpacts16[[#This Row],[Impact to Financial Objectives]]&lt;=$E$12,"Yes","No")</f>
        <v>Yes</v>
      </c>
    </row>
    <row r="38" spans="2:32" ht="25.5" x14ac:dyDescent="0.2">
      <c r="B38" s="29">
        <v>2.2999999999999998</v>
      </c>
      <c r="C38" s="30" t="s">
        <v>97</v>
      </c>
      <c r="D38" s="235" t="s">
        <v>450</v>
      </c>
      <c r="E38" s="30" t="s">
        <v>148</v>
      </c>
      <c r="F38" s="25"/>
      <c r="G38" s="45">
        <f>IFERROR(VLOOKUP(tblRiskRegister15[[#This Row],[Asset Class]],tblVCDBIndex[],4,FALSE),"")</f>
        <v>2</v>
      </c>
      <c r="H38" s="45" t="str">
        <f>IFERROR(VLOOKUP(10*tblRiskRegister15[[#This Row],[Safeguard Maturity Score]]+tblRiskRegister15[[#This Row],[VCDB Index]],tblHITIndexWeightTable[],4,FALSE),"")</f>
        <v/>
      </c>
      <c r="I38" s="45">
        <f>VLOOKUP(tblRiskRegister15[[#This Row],[Asset Class]],tblImpactIndex17[],2,FALSE)</f>
        <v>0</v>
      </c>
      <c r="J38" s="45">
        <f>VLOOKUP(tblRiskRegister15[[#This Row],[Asset Class]],tblImpactIndex17[],3,FALSE)</f>
        <v>0</v>
      </c>
      <c r="K38" s="45">
        <f>VLOOKUP(tblRiskRegister15[[#This Row],[Asset Class]],tblImpactIndex17[],4,FALSE)</f>
        <v>0</v>
      </c>
      <c r="L38" s="45" t="str">
        <f>IFERROR(MAX(tblRiskRegister15[[#This Row],[Impact to Mission]:[Impact to Obligations]])*tblRiskRegister15[[#This Row],[Expectancy Score]],"")</f>
        <v/>
      </c>
      <c r="M38" s="45" t="str">
        <f>tblRiskRegister15[[#This Row],[Risk Score]]</f>
        <v/>
      </c>
      <c r="N38" s="203"/>
      <c r="O38" s="29">
        <v>2.2999999999999998</v>
      </c>
      <c r="P38" s="30" t="s">
        <v>97</v>
      </c>
      <c r="Q38" s="30" t="s">
        <v>213</v>
      </c>
      <c r="R38" s="24"/>
      <c r="S38" s="25"/>
      <c r="T38" s="46" t="str">
        <f>IFERROR(VLOOKUP(10*tblRiskRegister15[[#This Row],[Risk Treatment Safeguard Maturity Score]]+tblRiskRegister15[[#This Row],[VCDB Index]],tblHITIndexWeightTable[],4,FALSE),"")</f>
        <v/>
      </c>
      <c r="U38" s="46">
        <f>VLOOKUP(tblRiskRegister15[[#This Row],[Asset Class]],tblImpactIndex17[],2,FALSE)</f>
        <v>0</v>
      </c>
      <c r="V38" s="46">
        <f>VLOOKUP(tblRiskRegister15[[#This Row],[Asset Class]],tblImpactIndex17[],3,FALSE)</f>
        <v>0</v>
      </c>
      <c r="W38" s="46">
        <f>VLOOKUP(tblRiskRegister15[[#This Row],[Asset Class]],tblImpactIndex17[],4,FALSE)</f>
        <v>0</v>
      </c>
      <c r="X38" s="46" t="str">
        <f>IFERROR(MAX(tblRiskRegister15[[#This Row],[Risk Treatment Safeguard Impact to Mission]:[Risk Treatment Safeguard Impact to Obligations]])*tblRiskRegister15[[#This Row],[Risk Treatment
Safeguard Expectancy Score]],"")</f>
        <v/>
      </c>
      <c r="Y38" s="46" t="str">
        <f>IF(tblRiskRegister15[[#This Row],[Risk Score]]&gt;5,IF(tblRiskRegister15[[#This Row],[Risk Treatment Safeguard Risk Score]]&lt;6, IF(tblRiskRegister15[[#This Row],[Risk Treatment Safeguard Risk Score]]&lt;=tblRiskRegister15[[#This Row],[Risk Score]],"Yes","No"),"No"),"Yes")</f>
        <v>No</v>
      </c>
      <c r="Z38" s="26"/>
      <c r="AA38" s="26"/>
      <c r="AB38" s="27"/>
      <c r="AD38" s="28">
        <f>SUMIF(tblRiskRegister15[[#All],[Implementation Year]],"="&amp;tblCostImpacts16[[#This Row],[Year]],tblRiskRegister15[[#All],[Risk Treatment Safeguard Cost]])</f>
        <v>0</v>
      </c>
      <c r="AE38" s="13">
        <v>2025</v>
      </c>
      <c r="AF38" s="13" t="str">
        <f>IF(tblCostImpacts16[[#This Row],[Impact to Financial Objectives]]&lt;=$E$12,"Yes","No")</f>
        <v>Yes</v>
      </c>
    </row>
    <row r="39" spans="2:32" ht="51" x14ac:dyDescent="0.2">
      <c r="B39" s="29">
        <v>3.1</v>
      </c>
      <c r="C39" s="30" t="s">
        <v>98</v>
      </c>
      <c r="D39" s="235" t="s">
        <v>449</v>
      </c>
      <c r="E39" s="30" t="s">
        <v>146</v>
      </c>
      <c r="F39" s="25"/>
      <c r="G39" s="45">
        <f>IFERROR(VLOOKUP(tblRiskRegister15[[#This Row],[Asset Class]],tblVCDBIndex[],4,FALSE),"")</f>
        <v>3</v>
      </c>
      <c r="H39" s="45" t="str">
        <f>IFERROR(VLOOKUP(10*tblRiskRegister15[[#This Row],[Safeguard Maturity Score]]+tblRiskRegister15[[#This Row],[VCDB Index]],tblHITIndexWeightTable[],4,FALSE),"")</f>
        <v/>
      </c>
      <c r="I39" s="45">
        <f>VLOOKUP(tblRiskRegister15[[#This Row],[Asset Class]],tblImpactIndex17[],2,FALSE)</f>
        <v>0</v>
      </c>
      <c r="J39" s="45">
        <f>VLOOKUP(tblRiskRegister15[[#This Row],[Asset Class]],tblImpactIndex17[],3,FALSE)</f>
        <v>0</v>
      </c>
      <c r="K39" s="45">
        <f>VLOOKUP(tblRiskRegister15[[#This Row],[Asset Class]],tblImpactIndex17[],4,FALSE)</f>
        <v>0</v>
      </c>
      <c r="L39" s="45" t="str">
        <f>IFERROR(MAX(tblRiskRegister15[[#This Row],[Impact to Mission]:[Impact to Obligations]])*tblRiskRegister15[[#This Row],[Expectancy Score]],"")</f>
        <v/>
      </c>
      <c r="M39" s="45" t="str">
        <f>tblRiskRegister15[[#This Row],[Risk Score]]</f>
        <v/>
      </c>
      <c r="N39" s="203"/>
      <c r="O39" s="29">
        <v>3.1</v>
      </c>
      <c r="P39" s="30" t="s">
        <v>98</v>
      </c>
      <c r="Q39" s="30" t="s">
        <v>214</v>
      </c>
      <c r="R39" s="24"/>
      <c r="S39" s="25"/>
      <c r="T39" s="46" t="str">
        <f>IFERROR(VLOOKUP(10*tblRiskRegister15[[#This Row],[Risk Treatment Safeguard Maturity Score]]+tblRiskRegister15[[#This Row],[VCDB Index]],tblHITIndexWeightTable[],4,FALSE),"")</f>
        <v/>
      </c>
      <c r="U39" s="46">
        <f>VLOOKUP(tblRiskRegister15[[#This Row],[Asset Class]],tblImpactIndex17[],2,FALSE)</f>
        <v>0</v>
      </c>
      <c r="V39" s="46">
        <f>VLOOKUP(tblRiskRegister15[[#This Row],[Asset Class]],tblImpactIndex17[],3,FALSE)</f>
        <v>0</v>
      </c>
      <c r="W39" s="46">
        <f>VLOOKUP(tblRiskRegister15[[#This Row],[Asset Class]],tblImpactIndex17[],4,FALSE)</f>
        <v>0</v>
      </c>
      <c r="X39" s="46" t="str">
        <f>IFERROR(MAX(tblRiskRegister15[[#This Row],[Risk Treatment Safeguard Impact to Mission]:[Risk Treatment Safeguard Impact to Obligations]])*tblRiskRegister15[[#This Row],[Risk Treatment
Safeguard Expectancy Score]],"")</f>
        <v/>
      </c>
      <c r="Y39" s="46" t="str">
        <f>IF(tblRiskRegister15[[#This Row],[Risk Score]]&gt;5,IF(tblRiskRegister15[[#This Row],[Risk Treatment Safeguard Risk Score]]&lt;6, IF(tblRiskRegister15[[#This Row],[Risk Treatment Safeguard Risk Score]]&lt;=tblRiskRegister15[[#This Row],[Risk Score]],"Yes","No"),"No"),"Yes")</f>
        <v>No</v>
      </c>
      <c r="Z39" s="26"/>
      <c r="AA39" s="26"/>
      <c r="AB39" s="27"/>
      <c r="AD39" s="28">
        <f>SUMIF(tblRiskRegister15[[#All],[Implementation Year]],"="&amp;tblCostImpacts16[[#This Row],[Year]],tblRiskRegister15[[#All],[Risk Treatment Safeguard Cost]])</f>
        <v>0</v>
      </c>
      <c r="AE39" s="13">
        <v>2026</v>
      </c>
      <c r="AF39" s="13" t="str">
        <f>IF(tblCostImpacts16[[#This Row],[Impact to Financial Objectives]]&lt;=$E$12,"Yes","No")</f>
        <v>Yes</v>
      </c>
    </row>
    <row r="40" spans="2:32" ht="38.25" x14ac:dyDescent="0.2">
      <c r="B40" s="29">
        <v>3.2</v>
      </c>
      <c r="C40" s="30" t="s">
        <v>99</v>
      </c>
      <c r="D40" s="235" t="s">
        <v>449</v>
      </c>
      <c r="E40" s="30" t="s">
        <v>146</v>
      </c>
      <c r="F40" s="25"/>
      <c r="G40" s="45">
        <f>IFERROR(VLOOKUP(tblRiskRegister15[[#This Row],[Asset Class]],tblVCDBIndex[],4,FALSE),"")</f>
        <v>3</v>
      </c>
      <c r="H40" s="45" t="str">
        <f>IFERROR(VLOOKUP(10*tblRiskRegister15[[#This Row],[Safeguard Maturity Score]]+tblRiskRegister15[[#This Row],[VCDB Index]],tblHITIndexWeightTable[],4,FALSE),"")</f>
        <v/>
      </c>
      <c r="I40" s="45">
        <f>VLOOKUP(tblRiskRegister15[[#This Row],[Asset Class]],tblImpactIndex17[],2,FALSE)</f>
        <v>0</v>
      </c>
      <c r="J40" s="45">
        <f>VLOOKUP(tblRiskRegister15[[#This Row],[Asset Class]],tblImpactIndex17[],3,FALSE)</f>
        <v>0</v>
      </c>
      <c r="K40" s="45">
        <f>VLOOKUP(tblRiskRegister15[[#This Row],[Asset Class]],tblImpactIndex17[],4,FALSE)</f>
        <v>0</v>
      </c>
      <c r="L40" s="45" t="str">
        <f>IFERROR(MAX(tblRiskRegister15[[#This Row],[Impact to Mission]:[Impact to Obligations]])*tblRiskRegister15[[#This Row],[Expectancy Score]],"")</f>
        <v/>
      </c>
      <c r="M40" s="45" t="str">
        <f>tblRiskRegister15[[#This Row],[Risk Score]]</f>
        <v/>
      </c>
      <c r="N40" s="203"/>
      <c r="O40" s="29">
        <v>3.2</v>
      </c>
      <c r="P40" s="30" t="s">
        <v>99</v>
      </c>
      <c r="Q40" s="30" t="s">
        <v>215</v>
      </c>
      <c r="R40" s="24"/>
      <c r="S40" s="25"/>
      <c r="T40" s="46" t="str">
        <f>IFERROR(VLOOKUP(10*tblRiskRegister15[[#This Row],[Risk Treatment Safeguard Maturity Score]]+tblRiskRegister15[[#This Row],[VCDB Index]],tblHITIndexWeightTable[],4,FALSE),"")</f>
        <v/>
      </c>
      <c r="U40" s="46">
        <f>VLOOKUP(tblRiskRegister15[[#This Row],[Asset Class]],tblImpactIndex17[],2,FALSE)</f>
        <v>0</v>
      </c>
      <c r="V40" s="46">
        <f>VLOOKUP(tblRiskRegister15[[#This Row],[Asset Class]],tblImpactIndex17[],3,FALSE)</f>
        <v>0</v>
      </c>
      <c r="W40" s="46">
        <f>VLOOKUP(tblRiskRegister15[[#This Row],[Asset Class]],tblImpactIndex17[],4,FALSE)</f>
        <v>0</v>
      </c>
      <c r="X40" s="46" t="str">
        <f>IFERROR(MAX(tblRiskRegister15[[#This Row],[Risk Treatment Safeguard Impact to Mission]:[Risk Treatment Safeguard Impact to Obligations]])*tblRiskRegister15[[#This Row],[Risk Treatment
Safeguard Expectancy Score]],"")</f>
        <v/>
      </c>
      <c r="Y40" s="46" t="str">
        <f>IF(tblRiskRegister15[[#This Row],[Risk Score]]&gt;5,IF(tblRiskRegister15[[#This Row],[Risk Treatment Safeguard Risk Score]]&lt;6, IF(tblRiskRegister15[[#This Row],[Risk Treatment Safeguard Risk Score]]&lt;=tblRiskRegister15[[#This Row],[Risk Score]],"Yes","No"),"No"),"Yes")</f>
        <v>No</v>
      </c>
      <c r="Z40" s="26"/>
      <c r="AA40" s="26"/>
      <c r="AB40" s="27"/>
      <c r="AD40" s="28">
        <f>SUMIF(tblRiskRegister15[[#All],[Implementation Year]],"="&amp;tblCostImpacts16[[#This Row],[Year]],tblRiskRegister15[[#All],[Risk Treatment Safeguard Cost]])</f>
        <v>0</v>
      </c>
      <c r="AE40" s="13">
        <v>2027</v>
      </c>
      <c r="AF40" s="13" t="str">
        <f>IF(tblCostImpacts16[[#This Row],[Impact to Financial Objectives]]&lt;=$E$12,"Yes","No")</f>
        <v>Yes</v>
      </c>
    </row>
    <row r="41" spans="2:32" ht="25.5" x14ac:dyDescent="0.2">
      <c r="B41" s="29">
        <v>3.3</v>
      </c>
      <c r="C41" s="30" t="s">
        <v>100</v>
      </c>
      <c r="D41" s="235" t="s">
        <v>451</v>
      </c>
      <c r="E41" s="30" t="s">
        <v>146</v>
      </c>
      <c r="F41" s="25"/>
      <c r="G41" s="45">
        <f>IFERROR(VLOOKUP(tblRiskRegister15[[#This Row],[Asset Class]],tblVCDBIndex[],4,FALSE),"")</f>
        <v>3</v>
      </c>
      <c r="H41" s="45" t="str">
        <f>IFERROR(VLOOKUP(10*tblRiskRegister15[[#This Row],[Safeguard Maturity Score]]+tblRiskRegister15[[#This Row],[VCDB Index]],tblHITIndexWeightTable[],4,FALSE),"")</f>
        <v/>
      </c>
      <c r="I41" s="45">
        <f>VLOOKUP(tblRiskRegister15[[#This Row],[Asset Class]],tblImpactIndex17[],2,FALSE)</f>
        <v>0</v>
      </c>
      <c r="J41" s="45">
        <f>VLOOKUP(tblRiskRegister15[[#This Row],[Asset Class]],tblImpactIndex17[],3,FALSE)</f>
        <v>0</v>
      </c>
      <c r="K41" s="45">
        <f>VLOOKUP(tblRiskRegister15[[#This Row],[Asset Class]],tblImpactIndex17[],4,FALSE)</f>
        <v>0</v>
      </c>
      <c r="L41" s="45" t="str">
        <f>IFERROR(MAX(tblRiskRegister15[[#This Row],[Impact to Mission]:[Impact to Obligations]])*tblRiskRegister15[[#This Row],[Expectancy Score]],"")</f>
        <v/>
      </c>
      <c r="M41" s="45" t="str">
        <f>tblRiskRegister15[[#This Row],[Risk Score]]</f>
        <v/>
      </c>
      <c r="N41" s="203"/>
      <c r="O41" s="29">
        <v>3.3</v>
      </c>
      <c r="P41" s="30" t="s">
        <v>100</v>
      </c>
      <c r="Q41" s="30" t="s">
        <v>216</v>
      </c>
      <c r="R41" s="24"/>
      <c r="S41" s="25"/>
      <c r="T41" s="46" t="str">
        <f>IFERROR(VLOOKUP(10*tblRiskRegister15[[#This Row],[Risk Treatment Safeguard Maturity Score]]+tblRiskRegister15[[#This Row],[VCDB Index]],tblHITIndexWeightTable[],4,FALSE),"")</f>
        <v/>
      </c>
      <c r="U41" s="46">
        <f>VLOOKUP(tblRiskRegister15[[#This Row],[Asset Class]],tblImpactIndex17[],2,FALSE)</f>
        <v>0</v>
      </c>
      <c r="V41" s="46">
        <f>VLOOKUP(tblRiskRegister15[[#This Row],[Asset Class]],tblImpactIndex17[],3,FALSE)</f>
        <v>0</v>
      </c>
      <c r="W41" s="46">
        <f>VLOOKUP(tblRiskRegister15[[#This Row],[Asset Class]],tblImpactIndex17[],4,FALSE)</f>
        <v>0</v>
      </c>
      <c r="X41" s="46" t="str">
        <f>IFERROR(MAX(tblRiskRegister15[[#This Row],[Risk Treatment Safeguard Impact to Mission]:[Risk Treatment Safeguard Impact to Obligations]])*tblRiskRegister15[[#This Row],[Risk Treatment
Safeguard Expectancy Score]],"")</f>
        <v/>
      </c>
      <c r="Y41" s="46" t="str">
        <f>IF(tblRiskRegister15[[#This Row],[Risk Score]]&gt;5,IF(tblRiskRegister15[[#This Row],[Risk Treatment Safeguard Risk Score]]&lt;6, IF(tblRiskRegister15[[#This Row],[Risk Treatment Safeguard Risk Score]]&lt;=tblRiskRegister15[[#This Row],[Risk Score]],"Yes","No"),"No"),"Yes")</f>
        <v>No</v>
      </c>
      <c r="Z41" s="26"/>
      <c r="AA41" s="26"/>
      <c r="AB41" s="27"/>
      <c r="AD41" s="28">
        <f>SUMIF(tblRiskRegister15[[#All],[Implementation Year]],"="&amp;tblCostImpacts16[[#This Row],[Year]],tblRiskRegister15[[#All],[Risk Treatment Safeguard Cost]])</f>
        <v>0</v>
      </c>
      <c r="AE41" s="13">
        <v>2028</v>
      </c>
      <c r="AF41" s="13" t="str">
        <f>IF(tblCostImpacts16[[#This Row],[Impact to Financial Objectives]]&lt;=$E$12,"Yes","No")</f>
        <v>Yes</v>
      </c>
    </row>
    <row r="42" spans="2:32" ht="25.5" x14ac:dyDescent="0.2">
      <c r="B42" s="29">
        <v>3.4</v>
      </c>
      <c r="C42" s="30" t="s">
        <v>101</v>
      </c>
      <c r="D42" s="235" t="s">
        <v>451</v>
      </c>
      <c r="E42" s="30" t="s">
        <v>146</v>
      </c>
      <c r="F42" s="25"/>
      <c r="G42" s="45">
        <f>IFERROR(VLOOKUP(tblRiskRegister15[[#This Row],[Asset Class]],tblVCDBIndex[],4,FALSE),"")</f>
        <v>3</v>
      </c>
      <c r="H42" s="45" t="str">
        <f>IFERROR(VLOOKUP(10*tblRiskRegister15[[#This Row],[Safeguard Maturity Score]]+tblRiskRegister15[[#This Row],[VCDB Index]],tblHITIndexWeightTable[],4,FALSE),"")</f>
        <v/>
      </c>
      <c r="I42" s="45">
        <f>VLOOKUP(tblRiskRegister15[[#This Row],[Asset Class]],tblImpactIndex17[],2,FALSE)</f>
        <v>0</v>
      </c>
      <c r="J42" s="45">
        <f>VLOOKUP(tblRiskRegister15[[#This Row],[Asset Class]],tblImpactIndex17[],3,FALSE)</f>
        <v>0</v>
      </c>
      <c r="K42" s="45">
        <f>VLOOKUP(tblRiskRegister15[[#This Row],[Asset Class]],tblImpactIndex17[],4,FALSE)</f>
        <v>0</v>
      </c>
      <c r="L42" s="45" t="str">
        <f>IFERROR(MAX(tblRiskRegister15[[#This Row],[Impact to Mission]:[Impact to Obligations]])*tblRiskRegister15[[#This Row],[Expectancy Score]],"")</f>
        <v/>
      </c>
      <c r="M42" s="45" t="str">
        <f>tblRiskRegister15[[#This Row],[Risk Score]]</f>
        <v/>
      </c>
      <c r="N42" s="203"/>
      <c r="O42" s="29">
        <v>3.4</v>
      </c>
      <c r="P42" s="30" t="s">
        <v>101</v>
      </c>
      <c r="Q42" s="30" t="s">
        <v>217</v>
      </c>
      <c r="R42" s="24"/>
      <c r="S42" s="25"/>
      <c r="T42" s="46" t="str">
        <f>IFERROR(VLOOKUP(10*tblRiskRegister15[[#This Row],[Risk Treatment Safeguard Maturity Score]]+tblRiskRegister15[[#This Row],[VCDB Index]],tblHITIndexWeightTable[],4,FALSE),"")</f>
        <v/>
      </c>
      <c r="U42" s="46">
        <f>VLOOKUP(tblRiskRegister15[[#This Row],[Asset Class]],tblImpactIndex17[],2,FALSE)</f>
        <v>0</v>
      </c>
      <c r="V42" s="46">
        <f>VLOOKUP(tblRiskRegister15[[#This Row],[Asset Class]],tblImpactIndex17[],3,FALSE)</f>
        <v>0</v>
      </c>
      <c r="W42" s="46">
        <f>VLOOKUP(tblRiskRegister15[[#This Row],[Asset Class]],tblImpactIndex17[],4,FALSE)</f>
        <v>0</v>
      </c>
      <c r="X42" s="46" t="str">
        <f>IFERROR(MAX(tblRiskRegister15[[#This Row],[Risk Treatment Safeguard Impact to Mission]:[Risk Treatment Safeguard Impact to Obligations]])*tblRiskRegister15[[#This Row],[Risk Treatment
Safeguard Expectancy Score]],"")</f>
        <v/>
      </c>
      <c r="Y42" s="46" t="str">
        <f>IF(tblRiskRegister15[[#This Row],[Risk Score]]&gt;5,IF(tblRiskRegister15[[#This Row],[Risk Treatment Safeguard Risk Score]]&lt;6, IF(tblRiskRegister15[[#This Row],[Risk Treatment Safeguard Risk Score]]&lt;=tblRiskRegister15[[#This Row],[Risk Score]],"Yes","No"),"No"),"Yes")</f>
        <v>No</v>
      </c>
      <c r="Z42" s="26"/>
      <c r="AA42" s="26"/>
      <c r="AB42" s="27"/>
      <c r="AD42" s="28">
        <f>SUMIF(tblRiskRegister15[[#All],[Implementation Year]],"="&amp;tblCostImpacts16[[#This Row],[Year]],tblRiskRegister15[[#All],[Risk Treatment Safeguard Cost]])</f>
        <v>0</v>
      </c>
      <c r="AE42" s="13">
        <v>2029</v>
      </c>
      <c r="AF42" s="13" t="str">
        <f>IF(tblCostImpacts16[[#This Row],[Impact to Financial Objectives]]&lt;=$E$12,"Yes","No")</f>
        <v>Yes</v>
      </c>
    </row>
    <row r="43" spans="2:32" ht="25.5" x14ac:dyDescent="0.2">
      <c r="B43" s="29">
        <v>3.5</v>
      </c>
      <c r="C43" s="30" t="s">
        <v>102</v>
      </c>
      <c r="D43" s="235" t="s">
        <v>451</v>
      </c>
      <c r="E43" s="30" t="s">
        <v>146</v>
      </c>
      <c r="F43" s="25"/>
      <c r="G43" s="45">
        <f>IFERROR(VLOOKUP(tblRiskRegister15[[#This Row],[Asset Class]],tblVCDBIndex[],4,FALSE),"")</f>
        <v>3</v>
      </c>
      <c r="H43" s="45" t="str">
        <f>IFERROR(VLOOKUP(10*tblRiskRegister15[[#This Row],[Safeguard Maturity Score]]+tblRiskRegister15[[#This Row],[VCDB Index]],tblHITIndexWeightTable[],4,FALSE),"")</f>
        <v/>
      </c>
      <c r="I43" s="45">
        <f>VLOOKUP(tblRiskRegister15[[#This Row],[Asset Class]],tblImpactIndex17[],2,FALSE)</f>
        <v>0</v>
      </c>
      <c r="J43" s="45">
        <f>VLOOKUP(tblRiskRegister15[[#This Row],[Asset Class]],tblImpactIndex17[],3,FALSE)</f>
        <v>0</v>
      </c>
      <c r="K43" s="45">
        <f>VLOOKUP(tblRiskRegister15[[#This Row],[Asset Class]],tblImpactIndex17[],4,FALSE)</f>
        <v>0</v>
      </c>
      <c r="L43" s="45" t="str">
        <f>IFERROR(MAX(tblRiskRegister15[[#This Row],[Impact to Mission]:[Impact to Obligations]])*tblRiskRegister15[[#This Row],[Expectancy Score]],"")</f>
        <v/>
      </c>
      <c r="M43" s="45" t="str">
        <f>tblRiskRegister15[[#This Row],[Risk Score]]</f>
        <v/>
      </c>
      <c r="N43" s="203"/>
      <c r="O43" s="29">
        <v>3.5</v>
      </c>
      <c r="P43" s="30" t="s">
        <v>102</v>
      </c>
      <c r="Q43" s="30" t="s">
        <v>218</v>
      </c>
      <c r="R43" s="24"/>
      <c r="S43" s="25"/>
      <c r="T43" s="46" t="str">
        <f>IFERROR(VLOOKUP(10*tblRiskRegister15[[#This Row],[Risk Treatment Safeguard Maturity Score]]+tblRiskRegister15[[#This Row],[VCDB Index]],tblHITIndexWeightTable[],4,FALSE),"")</f>
        <v/>
      </c>
      <c r="U43" s="46">
        <f>VLOOKUP(tblRiskRegister15[[#This Row],[Asset Class]],tblImpactIndex17[],2,FALSE)</f>
        <v>0</v>
      </c>
      <c r="V43" s="46">
        <f>VLOOKUP(tblRiskRegister15[[#This Row],[Asset Class]],tblImpactIndex17[],3,FALSE)</f>
        <v>0</v>
      </c>
      <c r="W43" s="46">
        <f>VLOOKUP(tblRiskRegister15[[#This Row],[Asset Class]],tblImpactIndex17[],4,FALSE)</f>
        <v>0</v>
      </c>
      <c r="X43" s="46" t="str">
        <f>IFERROR(MAX(tblRiskRegister15[[#This Row],[Risk Treatment Safeguard Impact to Mission]:[Risk Treatment Safeguard Impact to Obligations]])*tblRiskRegister15[[#This Row],[Risk Treatment
Safeguard Expectancy Score]],"")</f>
        <v/>
      </c>
      <c r="Y43" s="46" t="str">
        <f>IF(tblRiskRegister15[[#This Row],[Risk Score]]&gt;5,IF(tblRiskRegister15[[#This Row],[Risk Treatment Safeguard Risk Score]]&lt;6, IF(tblRiskRegister15[[#This Row],[Risk Treatment Safeguard Risk Score]]&lt;=tblRiskRegister15[[#This Row],[Risk Score]],"Yes","No"),"No"),"Yes")</f>
        <v>No</v>
      </c>
      <c r="Z43" s="26"/>
      <c r="AA43" s="26"/>
      <c r="AB43" s="27"/>
      <c r="AD43" s="28">
        <f>SUMIF(tblRiskRegister15[[#All],[Implementation Year]],"="&amp;tblCostImpacts16[[#This Row],[Year]],tblRiskRegister15[[#All],[Risk Treatment Safeguard Cost]])</f>
        <v>0</v>
      </c>
      <c r="AE43" s="13">
        <v>2030</v>
      </c>
      <c r="AF43" s="13" t="str">
        <f>IF(tblCostImpacts16[[#This Row],[Impact to Financial Objectives]]&lt;=$E$12,"Yes","No")</f>
        <v>Yes</v>
      </c>
    </row>
    <row r="44" spans="2:32" ht="25.5" x14ac:dyDescent="0.2">
      <c r="B44" s="29">
        <v>3.6</v>
      </c>
      <c r="C44" s="30" t="s">
        <v>103</v>
      </c>
      <c r="D44" s="235" t="s">
        <v>451</v>
      </c>
      <c r="E44" s="30" t="s">
        <v>147</v>
      </c>
      <c r="F44" s="25"/>
      <c r="G44" s="45">
        <f>IFERROR(VLOOKUP(tblRiskRegister15[[#This Row],[Asset Class]],tblVCDBIndex[],4,FALSE),"")</f>
        <v>1</v>
      </c>
      <c r="H44" s="45" t="str">
        <f>IFERROR(VLOOKUP(10*tblRiskRegister15[[#This Row],[Safeguard Maturity Score]]+tblRiskRegister15[[#This Row],[VCDB Index]],tblHITIndexWeightTable[],4,FALSE),"")</f>
        <v/>
      </c>
      <c r="I44" s="45">
        <f>VLOOKUP(tblRiskRegister15[[#This Row],[Asset Class]],tblImpactIndex17[],2,FALSE)</f>
        <v>0</v>
      </c>
      <c r="J44" s="45">
        <f>VLOOKUP(tblRiskRegister15[[#This Row],[Asset Class]],tblImpactIndex17[],3,FALSE)</f>
        <v>0</v>
      </c>
      <c r="K44" s="45">
        <f>VLOOKUP(tblRiskRegister15[[#This Row],[Asset Class]],tblImpactIndex17[],4,FALSE)</f>
        <v>0</v>
      </c>
      <c r="L44" s="45" t="str">
        <f>IFERROR(MAX(tblRiskRegister15[[#This Row],[Impact to Mission]:[Impact to Obligations]])*tblRiskRegister15[[#This Row],[Expectancy Score]],"")</f>
        <v/>
      </c>
      <c r="M44" s="45" t="str">
        <f>tblRiskRegister15[[#This Row],[Risk Score]]</f>
        <v/>
      </c>
      <c r="N44" s="203"/>
      <c r="O44" s="29">
        <v>3.6</v>
      </c>
      <c r="P44" s="30" t="s">
        <v>103</v>
      </c>
      <c r="Q44" s="30" t="s">
        <v>263</v>
      </c>
      <c r="R44" s="24"/>
      <c r="S44" s="25"/>
      <c r="T44" s="46" t="str">
        <f>IFERROR(VLOOKUP(10*tblRiskRegister15[[#This Row],[Risk Treatment Safeguard Maturity Score]]+tblRiskRegister15[[#This Row],[VCDB Index]],tblHITIndexWeightTable[],4,FALSE),"")</f>
        <v/>
      </c>
      <c r="U44" s="46">
        <f>VLOOKUP(tblRiskRegister15[[#This Row],[Asset Class]],tblImpactIndex17[],2,FALSE)</f>
        <v>0</v>
      </c>
      <c r="V44" s="46">
        <f>VLOOKUP(tblRiskRegister15[[#This Row],[Asset Class]],tblImpactIndex17[],3,FALSE)</f>
        <v>0</v>
      </c>
      <c r="W44" s="46">
        <f>VLOOKUP(tblRiskRegister15[[#This Row],[Asset Class]],tblImpactIndex17[],4,FALSE)</f>
        <v>0</v>
      </c>
      <c r="X44" s="46" t="str">
        <f>IFERROR(MAX(tblRiskRegister15[[#This Row],[Risk Treatment Safeguard Impact to Mission]:[Risk Treatment Safeguard Impact to Obligations]])*tblRiskRegister15[[#This Row],[Risk Treatment
Safeguard Expectancy Score]],"")</f>
        <v/>
      </c>
      <c r="Y44" s="46" t="str">
        <f>IF(tblRiskRegister15[[#This Row],[Risk Score]]&gt;5,IF(tblRiskRegister15[[#This Row],[Risk Treatment Safeguard Risk Score]]&lt;6, IF(tblRiskRegister15[[#This Row],[Risk Treatment Safeguard Risk Score]]&lt;=tblRiskRegister15[[#This Row],[Risk Score]],"Yes","No"),"No"),"Yes")</f>
        <v>No</v>
      </c>
      <c r="Z44" s="26"/>
      <c r="AA44" s="26"/>
      <c r="AB44" s="27"/>
    </row>
    <row r="45" spans="2:32" ht="51" x14ac:dyDescent="0.2">
      <c r="B45" s="29">
        <v>4.0999999999999996</v>
      </c>
      <c r="C45" s="30" t="s">
        <v>104</v>
      </c>
      <c r="D45" s="235" t="s">
        <v>451</v>
      </c>
      <c r="E45" s="30" t="s">
        <v>148</v>
      </c>
      <c r="F45" s="25"/>
      <c r="G45" s="45">
        <f>IFERROR(VLOOKUP(tblRiskRegister15[[#This Row],[Asset Class]],tblVCDBIndex[],4,FALSE),"")</f>
        <v>2</v>
      </c>
      <c r="H45" s="45" t="str">
        <f>IFERROR(VLOOKUP(10*tblRiskRegister15[[#This Row],[Safeguard Maturity Score]]+tblRiskRegister15[[#This Row],[VCDB Index]],tblHITIndexWeightTable[],4,FALSE),"")</f>
        <v/>
      </c>
      <c r="I45" s="45">
        <f>VLOOKUP(tblRiskRegister15[[#This Row],[Asset Class]],tblImpactIndex17[],2,FALSE)</f>
        <v>0</v>
      </c>
      <c r="J45" s="45">
        <f>VLOOKUP(tblRiskRegister15[[#This Row],[Asset Class]],tblImpactIndex17[],3,FALSE)</f>
        <v>0</v>
      </c>
      <c r="K45" s="45">
        <f>VLOOKUP(tblRiskRegister15[[#This Row],[Asset Class]],tblImpactIndex17[],4,FALSE)</f>
        <v>0</v>
      </c>
      <c r="L45" s="45" t="str">
        <f>IFERROR(MAX(tblRiskRegister15[[#This Row],[Impact to Mission]:[Impact to Obligations]])*tblRiskRegister15[[#This Row],[Expectancy Score]],"")</f>
        <v/>
      </c>
      <c r="M45" s="45" t="str">
        <f>tblRiskRegister15[[#This Row],[Risk Score]]</f>
        <v/>
      </c>
      <c r="N45" s="203"/>
      <c r="O45" s="29">
        <v>4.0999999999999996</v>
      </c>
      <c r="P45" s="30" t="s">
        <v>104</v>
      </c>
      <c r="Q45" s="30" t="s">
        <v>219</v>
      </c>
      <c r="R45" s="24"/>
      <c r="S45" s="25"/>
      <c r="T45" s="46" t="str">
        <f>IFERROR(VLOOKUP(10*tblRiskRegister15[[#This Row],[Risk Treatment Safeguard Maturity Score]]+tblRiskRegister15[[#This Row],[VCDB Index]],tblHITIndexWeightTable[],4,FALSE),"")</f>
        <v/>
      </c>
      <c r="U45" s="46">
        <f>VLOOKUP(tblRiskRegister15[[#This Row],[Asset Class]],tblImpactIndex17[],2,FALSE)</f>
        <v>0</v>
      </c>
      <c r="V45" s="46">
        <f>VLOOKUP(tblRiskRegister15[[#This Row],[Asset Class]],tblImpactIndex17[],3,FALSE)</f>
        <v>0</v>
      </c>
      <c r="W45" s="46">
        <f>VLOOKUP(tblRiskRegister15[[#This Row],[Asset Class]],tblImpactIndex17[],4,FALSE)</f>
        <v>0</v>
      </c>
      <c r="X45" s="46" t="str">
        <f>IFERROR(MAX(tblRiskRegister15[[#This Row],[Risk Treatment Safeguard Impact to Mission]:[Risk Treatment Safeguard Impact to Obligations]])*tblRiskRegister15[[#This Row],[Risk Treatment
Safeguard Expectancy Score]],"")</f>
        <v/>
      </c>
      <c r="Y45" s="46" t="str">
        <f>IF(tblRiskRegister15[[#This Row],[Risk Score]]&gt;5,IF(tblRiskRegister15[[#This Row],[Risk Treatment Safeguard Risk Score]]&lt;6, IF(tblRiskRegister15[[#This Row],[Risk Treatment Safeguard Risk Score]]&lt;=tblRiskRegister15[[#This Row],[Risk Score]],"Yes","No"),"No"),"Yes")</f>
        <v>No</v>
      </c>
      <c r="Z45" s="26"/>
      <c r="AA45" s="26"/>
      <c r="AB45" s="27"/>
    </row>
    <row r="46" spans="2:32" ht="51" x14ac:dyDescent="0.2">
      <c r="B46" s="29">
        <v>4.2</v>
      </c>
      <c r="C46" s="30" t="s">
        <v>105</v>
      </c>
      <c r="D46" s="235" t="s">
        <v>451</v>
      </c>
      <c r="E46" s="30" t="s">
        <v>149</v>
      </c>
      <c r="F46" s="25"/>
      <c r="G46" s="45">
        <f>IFERROR(VLOOKUP(tblRiskRegister15[[#This Row],[Asset Class]],tblVCDBIndex[],4,FALSE),"")</f>
        <v>1</v>
      </c>
      <c r="H46" s="45" t="str">
        <f>IFERROR(VLOOKUP(10*tblRiskRegister15[[#This Row],[Safeguard Maturity Score]]+tblRiskRegister15[[#This Row],[VCDB Index]],tblHITIndexWeightTable[],4,FALSE),"")</f>
        <v/>
      </c>
      <c r="I46" s="45">
        <f>VLOOKUP(tblRiskRegister15[[#This Row],[Asset Class]],tblImpactIndex17[],2,FALSE)</f>
        <v>0</v>
      </c>
      <c r="J46" s="45">
        <f>VLOOKUP(tblRiskRegister15[[#This Row],[Asset Class]],tblImpactIndex17[],3,FALSE)</f>
        <v>0</v>
      </c>
      <c r="K46" s="45">
        <f>VLOOKUP(tblRiskRegister15[[#This Row],[Asset Class]],tblImpactIndex17[],4,FALSE)</f>
        <v>0</v>
      </c>
      <c r="L46" s="45" t="str">
        <f>IFERROR(MAX(tblRiskRegister15[[#This Row],[Impact to Mission]:[Impact to Obligations]])*tblRiskRegister15[[#This Row],[Expectancy Score]],"")</f>
        <v/>
      </c>
      <c r="M46" s="45" t="str">
        <f>tblRiskRegister15[[#This Row],[Risk Score]]</f>
        <v/>
      </c>
      <c r="N46" s="203"/>
      <c r="O46" s="29">
        <v>4.2</v>
      </c>
      <c r="P46" s="30" t="s">
        <v>105</v>
      </c>
      <c r="Q46" s="30" t="s">
        <v>220</v>
      </c>
      <c r="R46" s="24"/>
      <c r="S46" s="25"/>
      <c r="T46" s="46" t="str">
        <f>IFERROR(VLOOKUP(10*tblRiskRegister15[[#This Row],[Risk Treatment Safeguard Maturity Score]]+tblRiskRegister15[[#This Row],[VCDB Index]],tblHITIndexWeightTable[],4,FALSE),"")</f>
        <v/>
      </c>
      <c r="U46" s="46">
        <f>VLOOKUP(tblRiskRegister15[[#This Row],[Asset Class]],tblImpactIndex17[],2,FALSE)</f>
        <v>0</v>
      </c>
      <c r="V46" s="46">
        <f>VLOOKUP(tblRiskRegister15[[#This Row],[Asset Class]],tblImpactIndex17[],3,FALSE)</f>
        <v>0</v>
      </c>
      <c r="W46" s="46">
        <f>VLOOKUP(tblRiskRegister15[[#This Row],[Asset Class]],tblImpactIndex17[],4,FALSE)</f>
        <v>0</v>
      </c>
      <c r="X46" s="46" t="str">
        <f>IFERROR(MAX(tblRiskRegister15[[#This Row],[Risk Treatment Safeguard Impact to Mission]:[Risk Treatment Safeguard Impact to Obligations]])*tblRiskRegister15[[#This Row],[Risk Treatment
Safeguard Expectancy Score]],"")</f>
        <v/>
      </c>
      <c r="Y46" s="46" t="str">
        <f>IF(tblRiskRegister15[[#This Row],[Risk Score]]&gt;5,IF(tblRiskRegister15[[#This Row],[Risk Treatment Safeguard Risk Score]]&lt;6, IF(tblRiskRegister15[[#This Row],[Risk Treatment Safeguard Risk Score]]&lt;=tblRiskRegister15[[#This Row],[Risk Score]],"Yes","No"),"No"),"Yes")</f>
        <v>No</v>
      </c>
      <c r="Z46" s="26"/>
      <c r="AA46" s="26"/>
      <c r="AB46" s="27"/>
    </row>
    <row r="47" spans="2:32" ht="38.25" x14ac:dyDescent="0.2">
      <c r="B47" s="29">
        <v>4.3</v>
      </c>
      <c r="C47" s="30" t="s">
        <v>106</v>
      </c>
      <c r="D47" s="235" t="s">
        <v>451</v>
      </c>
      <c r="E47" s="30" t="s">
        <v>150</v>
      </c>
      <c r="F47" s="25"/>
      <c r="G47" s="45">
        <f>IFERROR(VLOOKUP(tblRiskRegister15[[#This Row],[Asset Class]],tblVCDBIndex[],4,FALSE),"")</f>
        <v>3</v>
      </c>
      <c r="H47" s="45" t="str">
        <f>IFERROR(VLOOKUP(10*tblRiskRegister15[[#This Row],[Safeguard Maturity Score]]+tblRiskRegister15[[#This Row],[VCDB Index]],tblHITIndexWeightTable[],4,FALSE),"")</f>
        <v/>
      </c>
      <c r="I47" s="45">
        <f>VLOOKUP(tblRiskRegister15[[#This Row],[Asset Class]],tblImpactIndex17[],2,FALSE)</f>
        <v>0</v>
      </c>
      <c r="J47" s="45">
        <f>VLOOKUP(tblRiskRegister15[[#This Row],[Asset Class]],tblImpactIndex17[],3,FALSE)</f>
        <v>0</v>
      </c>
      <c r="K47" s="45">
        <f>VLOOKUP(tblRiskRegister15[[#This Row],[Asset Class]],tblImpactIndex17[],4,FALSE)</f>
        <v>0</v>
      </c>
      <c r="L47" s="45" t="str">
        <f>IFERROR(MAX(tblRiskRegister15[[#This Row],[Impact to Mission]:[Impact to Obligations]])*tblRiskRegister15[[#This Row],[Expectancy Score]],"")</f>
        <v/>
      </c>
      <c r="M47" s="45" t="str">
        <f>tblRiskRegister15[[#This Row],[Risk Score]]</f>
        <v/>
      </c>
      <c r="N47" s="203"/>
      <c r="O47" s="29">
        <v>4.3</v>
      </c>
      <c r="P47" s="30" t="s">
        <v>106</v>
      </c>
      <c r="Q47" s="30" t="s">
        <v>221</v>
      </c>
      <c r="R47" s="24"/>
      <c r="S47" s="25"/>
      <c r="T47" s="46" t="str">
        <f>IFERROR(VLOOKUP(10*tblRiskRegister15[[#This Row],[Risk Treatment Safeguard Maturity Score]]+tblRiskRegister15[[#This Row],[VCDB Index]],tblHITIndexWeightTable[],4,FALSE),"")</f>
        <v/>
      </c>
      <c r="U47" s="46">
        <f>VLOOKUP(tblRiskRegister15[[#This Row],[Asset Class]],tblImpactIndex17[],2,FALSE)</f>
        <v>0</v>
      </c>
      <c r="V47" s="46">
        <f>VLOOKUP(tblRiskRegister15[[#This Row],[Asset Class]],tblImpactIndex17[],3,FALSE)</f>
        <v>0</v>
      </c>
      <c r="W47" s="46">
        <f>VLOOKUP(tblRiskRegister15[[#This Row],[Asset Class]],tblImpactIndex17[],4,FALSE)</f>
        <v>0</v>
      </c>
      <c r="X47" s="46" t="str">
        <f>IFERROR(MAX(tblRiskRegister15[[#This Row],[Risk Treatment Safeguard Impact to Mission]:[Risk Treatment Safeguard Impact to Obligations]])*tblRiskRegister15[[#This Row],[Risk Treatment
Safeguard Expectancy Score]],"")</f>
        <v/>
      </c>
      <c r="Y47" s="46" t="str">
        <f>IF(tblRiskRegister15[[#This Row],[Risk Score]]&gt;5,IF(tblRiskRegister15[[#This Row],[Risk Treatment Safeguard Risk Score]]&lt;6, IF(tblRiskRegister15[[#This Row],[Risk Treatment Safeguard Risk Score]]&lt;=tblRiskRegister15[[#This Row],[Risk Score]],"Yes","No"),"No"),"Yes")</f>
        <v>No</v>
      </c>
      <c r="Z47" s="26"/>
      <c r="AA47" s="26"/>
      <c r="AB47" s="27"/>
    </row>
    <row r="48" spans="2:32" ht="25.5" x14ac:dyDescent="0.2">
      <c r="B48" s="29">
        <v>4.4000000000000004</v>
      </c>
      <c r="C48" s="30" t="s">
        <v>107</v>
      </c>
      <c r="D48" s="235" t="s">
        <v>451</v>
      </c>
      <c r="E48" s="30" t="s">
        <v>147</v>
      </c>
      <c r="F48" s="25"/>
      <c r="G48" s="45">
        <f>IFERROR(VLOOKUP(tblRiskRegister15[[#This Row],[Asset Class]],tblVCDBIndex[],4,FALSE),"")</f>
        <v>1</v>
      </c>
      <c r="H48" s="45" t="str">
        <f>IFERROR(VLOOKUP(10*tblRiskRegister15[[#This Row],[Safeguard Maturity Score]]+tblRiskRegister15[[#This Row],[VCDB Index]],tblHITIndexWeightTable[],4,FALSE),"")</f>
        <v/>
      </c>
      <c r="I48" s="45">
        <f>VLOOKUP(tblRiskRegister15[[#This Row],[Asset Class]],tblImpactIndex17[],2,FALSE)</f>
        <v>0</v>
      </c>
      <c r="J48" s="45">
        <f>VLOOKUP(tblRiskRegister15[[#This Row],[Asset Class]],tblImpactIndex17[],3,FALSE)</f>
        <v>0</v>
      </c>
      <c r="K48" s="45">
        <f>VLOOKUP(tblRiskRegister15[[#This Row],[Asset Class]],tblImpactIndex17[],4,FALSE)</f>
        <v>0</v>
      </c>
      <c r="L48" s="45" t="str">
        <f>IFERROR(MAX(tblRiskRegister15[[#This Row],[Impact to Mission]:[Impact to Obligations]])*tblRiskRegister15[[#This Row],[Expectancy Score]],"")</f>
        <v/>
      </c>
      <c r="M48" s="45" t="str">
        <f>tblRiskRegister15[[#This Row],[Risk Score]]</f>
        <v/>
      </c>
      <c r="N48" s="203"/>
      <c r="O48" s="29">
        <v>4.4000000000000004</v>
      </c>
      <c r="P48" s="30" t="s">
        <v>107</v>
      </c>
      <c r="Q48" s="30" t="s">
        <v>222</v>
      </c>
      <c r="R48" s="24"/>
      <c r="S48" s="25"/>
      <c r="T48" s="46" t="str">
        <f>IFERROR(VLOOKUP(10*tblRiskRegister15[[#This Row],[Risk Treatment Safeguard Maturity Score]]+tblRiskRegister15[[#This Row],[VCDB Index]],tblHITIndexWeightTable[],4,FALSE),"")</f>
        <v/>
      </c>
      <c r="U48" s="46">
        <f>VLOOKUP(tblRiskRegister15[[#This Row],[Asset Class]],tblImpactIndex17[],2,FALSE)</f>
        <v>0</v>
      </c>
      <c r="V48" s="46">
        <f>VLOOKUP(tblRiskRegister15[[#This Row],[Asset Class]],tblImpactIndex17[],3,FALSE)</f>
        <v>0</v>
      </c>
      <c r="W48" s="46">
        <f>VLOOKUP(tblRiskRegister15[[#This Row],[Asset Class]],tblImpactIndex17[],4,FALSE)</f>
        <v>0</v>
      </c>
      <c r="X48" s="46" t="str">
        <f>IFERROR(MAX(tblRiskRegister15[[#This Row],[Risk Treatment Safeguard Impact to Mission]:[Risk Treatment Safeguard Impact to Obligations]])*tblRiskRegister15[[#This Row],[Risk Treatment
Safeguard Expectancy Score]],"")</f>
        <v/>
      </c>
      <c r="Y48" s="46" t="str">
        <f>IF(tblRiskRegister15[[#This Row],[Risk Score]]&gt;5,IF(tblRiskRegister15[[#This Row],[Risk Treatment Safeguard Risk Score]]&lt;6, IF(tblRiskRegister15[[#This Row],[Risk Treatment Safeguard Risk Score]]&lt;=tblRiskRegister15[[#This Row],[Risk Score]],"Yes","No"),"No"),"Yes")</f>
        <v>No</v>
      </c>
      <c r="Z48" s="26"/>
      <c r="AA48" s="26"/>
      <c r="AB48" s="27"/>
    </row>
    <row r="49" spans="2:28" ht="38.25" x14ac:dyDescent="0.2">
      <c r="B49" s="29">
        <v>4.5</v>
      </c>
      <c r="C49" s="30" t="s">
        <v>108</v>
      </c>
      <c r="D49" s="235" t="s">
        <v>451</v>
      </c>
      <c r="E49" s="30" t="s">
        <v>147</v>
      </c>
      <c r="F49" s="25"/>
      <c r="G49" s="45">
        <f>IFERROR(VLOOKUP(tblRiskRegister15[[#This Row],[Asset Class]],tblVCDBIndex[],4,FALSE),"")</f>
        <v>1</v>
      </c>
      <c r="H49" s="45" t="str">
        <f>IFERROR(VLOOKUP(10*tblRiskRegister15[[#This Row],[Safeguard Maturity Score]]+tblRiskRegister15[[#This Row],[VCDB Index]],tblHITIndexWeightTable[],4,FALSE),"")</f>
        <v/>
      </c>
      <c r="I49" s="45">
        <f>VLOOKUP(tblRiskRegister15[[#This Row],[Asset Class]],tblImpactIndex17[],2,FALSE)</f>
        <v>0</v>
      </c>
      <c r="J49" s="45">
        <f>VLOOKUP(tblRiskRegister15[[#This Row],[Asset Class]],tblImpactIndex17[],3,FALSE)</f>
        <v>0</v>
      </c>
      <c r="K49" s="45">
        <f>VLOOKUP(tblRiskRegister15[[#This Row],[Asset Class]],tblImpactIndex17[],4,FALSE)</f>
        <v>0</v>
      </c>
      <c r="L49" s="45" t="str">
        <f>IFERROR(MAX(tblRiskRegister15[[#This Row],[Impact to Mission]:[Impact to Obligations]])*tblRiskRegister15[[#This Row],[Expectancy Score]],"")</f>
        <v/>
      </c>
      <c r="M49" s="45" t="str">
        <f>tblRiskRegister15[[#This Row],[Risk Score]]</f>
        <v/>
      </c>
      <c r="N49" s="203"/>
      <c r="O49" s="29">
        <v>4.5</v>
      </c>
      <c r="P49" s="30" t="s">
        <v>108</v>
      </c>
      <c r="Q49" s="30" t="s">
        <v>223</v>
      </c>
      <c r="R49" s="24"/>
      <c r="S49" s="25"/>
      <c r="T49" s="46" t="str">
        <f>IFERROR(VLOOKUP(10*tblRiskRegister15[[#This Row],[Risk Treatment Safeguard Maturity Score]]+tblRiskRegister15[[#This Row],[VCDB Index]],tblHITIndexWeightTable[],4,FALSE),"")</f>
        <v/>
      </c>
      <c r="U49" s="46">
        <f>VLOOKUP(tblRiskRegister15[[#This Row],[Asset Class]],tblImpactIndex17[],2,FALSE)</f>
        <v>0</v>
      </c>
      <c r="V49" s="46">
        <f>VLOOKUP(tblRiskRegister15[[#This Row],[Asset Class]],tblImpactIndex17[],3,FALSE)</f>
        <v>0</v>
      </c>
      <c r="W49" s="46">
        <f>VLOOKUP(tblRiskRegister15[[#This Row],[Asset Class]],tblImpactIndex17[],4,FALSE)</f>
        <v>0</v>
      </c>
      <c r="X49" s="46" t="str">
        <f>IFERROR(MAX(tblRiskRegister15[[#This Row],[Risk Treatment Safeguard Impact to Mission]:[Risk Treatment Safeguard Impact to Obligations]])*tblRiskRegister15[[#This Row],[Risk Treatment
Safeguard Expectancy Score]],"")</f>
        <v/>
      </c>
      <c r="Y49" s="46" t="str">
        <f>IF(tblRiskRegister15[[#This Row],[Risk Score]]&gt;5,IF(tblRiskRegister15[[#This Row],[Risk Treatment Safeguard Risk Score]]&lt;6, IF(tblRiskRegister15[[#This Row],[Risk Treatment Safeguard Risk Score]]&lt;=tblRiskRegister15[[#This Row],[Risk Score]],"Yes","No"),"No"),"Yes")</f>
        <v>No</v>
      </c>
      <c r="Z49" s="26"/>
      <c r="AA49" s="26"/>
      <c r="AB49" s="27"/>
    </row>
    <row r="50" spans="2:28" ht="63.75" x14ac:dyDescent="0.2">
      <c r="B50" s="29">
        <v>4.5999999999999996</v>
      </c>
      <c r="C50" s="30" t="s">
        <v>109</v>
      </c>
      <c r="D50" s="235" t="s">
        <v>451</v>
      </c>
      <c r="E50" s="30" t="s">
        <v>149</v>
      </c>
      <c r="F50" s="25"/>
      <c r="G50" s="45">
        <f>IFERROR(VLOOKUP(tblRiskRegister15[[#This Row],[Asset Class]],tblVCDBIndex[],4,FALSE),"")</f>
        <v>1</v>
      </c>
      <c r="H50" s="45" t="str">
        <f>IFERROR(VLOOKUP(10*tblRiskRegister15[[#This Row],[Safeguard Maturity Score]]+tblRiskRegister15[[#This Row],[VCDB Index]],tblHITIndexWeightTable[],4,FALSE),"")</f>
        <v/>
      </c>
      <c r="I50" s="45">
        <f>VLOOKUP(tblRiskRegister15[[#This Row],[Asset Class]],tblImpactIndex17[],2,FALSE)</f>
        <v>0</v>
      </c>
      <c r="J50" s="45">
        <f>VLOOKUP(tblRiskRegister15[[#This Row],[Asset Class]],tblImpactIndex17[],3,FALSE)</f>
        <v>0</v>
      </c>
      <c r="K50" s="45">
        <f>VLOOKUP(tblRiskRegister15[[#This Row],[Asset Class]],tblImpactIndex17[],4,FALSE)</f>
        <v>0</v>
      </c>
      <c r="L50" s="45" t="str">
        <f>IFERROR(MAX(tblRiskRegister15[[#This Row],[Impact to Mission]:[Impact to Obligations]])*tblRiskRegister15[[#This Row],[Expectancy Score]],"")</f>
        <v/>
      </c>
      <c r="M50" s="45" t="str">
        <f>tblRiskRegister15[[#This Row],[Risk Score]]</f>
        <v/>
      </c>
      <c r="N50" s="203"/>
      <c r="O50" s="29">
        <v>4.5999999999999996</v>
      </c>
      <c r="P50" s="30" t="s">
        <v>109</v>
      </c>
      <c r="Q50" s="30" t="s">
        <v>224</v>
      </c>
      <c r="R50" s="24"/>
      <c r="S50" s="25"/>
      <c r="T50" s="46" t="str">
        <f>IFERROR(VLOOKUP(10*tblRiskRegister15[[#This Row],[Risk Treatment Safeguard Maturity Score]]+tblRiskRegister15[[#This Row],[VCDB Index]],tblHITIndexWeightTable[],4,FALSE),"")</f>
        <v/>
      </c>
      <c r="U50" s="46">
        <f>VLOOKUP(tblRiskRegister15[[#This Row],[Asset Class]],tblImpactIndex17[],2,FALSE)</f>
        <v>0</v>
      </c>
      <c r="V50" s="46">
        <f>VLOOKUP(tblRiskRegister15[[#This Row],[Asset Class]],tblImpactIndex17[],3,FALSE)</f>
        <v>0</v>
      </c>
      <c r="W50" s="46">
        <f>VLOOKUP(tblRiskRegister15[[#This Row],[Asset Class]],tblImpactIndex17[],4,FALSE)</f>
        <v>0</v>
      </c>
      <c r="X50" s="46" t="str">
        <f>IFERROR(MAX(tblRiskRegister15[[#This Row],[Risk Treatment Safeguard Impact to Mission]:[Risk Treatment Safeguard Impact to Obligations]])*tblRiskRegister15[[#This Row],[Risk Treatment
Safeguard Expectancy Score]],"")</f>
        <v/>
      </c>
      <c r="Y50" s="46" t="str">
        <f>IF(tblRiskRegister15[[#This Row],[Risk Score]]&gt;5,IF(tblRiskRegister15[[#This Row],[Risk Treatment Safeguard Risk Score]]&lt;6, IF(tblRiskRegister15[[#This Row],[Risk Treatment Safeguard Risk Score]]&lt;=tblRiskRegister15[[#This Row],[Risk Score]],"Yes","No"),"No"),"Yes")</f>
        <v>No</v>
      </c>
      <c r="Z50" s="26"/>
      <c r="AA50" s="26"/>
      <c r="AB50" s="27"/>
    </row>
    <row r="51" spans="2:28" ht="38.25" x14ac:dyDescent="0.2">
      <c r="B51" s="29">
        <v>4.7</v>
      </c>
      <c r="C51" s="30" t="s">
        <v>110</v>
      </c>
      <c r="D51" s="235" t="s">
        <v>451</v>
      </c>
      <c r="E51" s="30" t="s">
        <v>150</v>
      </c>
      <c r="F51" s="25"/>
      <c r="G51" s="45">
        <f>IFERROR(VLOOKUP(tblRiskRegister15[[#This Row],[Asset Class]],tblVCDBIndex[],4,FALSE),"")</f>
        <v>3</v>
      </c>
      <c r="H51" s="45" t="str">
        <f>IFERROR(VLOOKUP(10*tblRiskRegister15[[#This Row],[Safeguard Maturity Score]]+tblRiskRegister15[[#This Row],[VCDB Index]],tblHITIndexWeightTable[],4,FALSE),"")</f>
        <v/>
      </c>
      <c r="I51" s="45">
        <f>VLOOKUP(tblRiskRegister15[[#This Row],[Asset Class]],tblImpactIndex17[],2,FALSE)</f>
        <v>0</v>
      </c>
      <c r="J51" s="45">
        <f>VLOOKUP(tblRiskRegister15[[#This Row],[Asset Class]],tblImpactIndex17[],3,FALSE)</f>
        <v>0</v>
      </c>
      <c r="K51" s="45">
        <f>VLOOKUP(tblRiskRegister15[[#This Row],[Asset Class]],tblImpactIndex17[],4,FALSE)</f>
        <v>0</v>
      </c>
      <c r="L51" s="45" t="str">
        <f>IFERROR(MAX(tblRiskRegister15[[#This Row],[Impact to Mission]:[Impact to Obligations]])*tblRiskRegister15[[#This Row],[Expectancy Score]],"")</f>
        <v/>
      </c>
      <c r="M51" s="45" t="str">
        <f>tblRiskRegister15[[#This Row],[Risk Score]]</f>
        <v/>
      </c>
      <c r="N51" s="203"/>
      <c r="O51" s="29">
        <v>4.7</v>
      </c>
      <c r="P51" s="30" t="s">
        <v>110</v>
      </c>
      <c r="Q51" s="30" t="s">
        <v>225</v>
      </c>
      <c r="R51" s="24"/>
      <c r="S51" s="25"/>
      <c r="T51" s="46" t="str">
        <f>IFERROR(VLOOKUP(10*tblRiskRegister15[[#This Row],[Risk Treatment Safeguard Maturity Score]]+tblRiskRegister15[[#This Row],[VCDB Index]],tblHITIndexWeightTable[],4,FALSE),"")</f>
        <v/>
      </c>
      <c r="U51" s="46">
        <f>VLOOKUP(tblRiskRegister15[[#This Row],[Asset Class]],tblImpactIndex17[],2,FALSE)</f>
        <v>0</v>
      </c>
      <c r="V51" s="46">
        <f>VLOOKUP(tblRiskRegister15[[#This Row],[Asset Class]],tblImpactIndex17[],3,FALSE)</f>
        <v>0</v>
      </c>
      <c r="W51" s="46">
        <f>VLOOKUP(tblRiskRegister15[[#This Row],[Asset Class]],tblImpactIndex17[],4,FALSE)</f>
        <v>0</v>
      </c>
      <c r="X51" s="46" t="str">
        <f>IFERROR(MAX(tblRiskRegister15[[#This Row],[Risk Treatment Safeguard Impact to Mission]:[Risk Treatment Safeguard Impact to Obligations]])*tblRiskRegister15[[#This Row],[Risk Treatment
Safeguard Expectancy Score]],"")</f>
        <v/>
      </c>
      <c r="Y51" s="46" t="str">
        <f>IF(tblRiskRegister15[[#This Row],[Risk Score]]&gt;5,IF(tblRiskRegister15[[#This Row],[Risk Treatment Safeguard Risk Score]]&lt;6, IF(tblRiskRegister15[[#This Row],[Risk Treatment Safeguard Risk Score]]&lt;=tblRiskRegister15[[#This Row],[Risk Score]],"Yes","No"),"No"),"Yes")</f>
        <v>No</v>
      </c>
      <c r="Z51" s="26"/>
      <c r="AA51" s="26"/>
      <c r="AB51" s="27"/>
    </row>
    <row r="52" spans="2:28" ht="51" x14ac:dyDescent="0.2">
      <c r="B52" s="29">
        <v>5.0999999999999996</v>
      </c>
      <c r="C52" s="30" t="s">
        <v>111</v>
      </c>
      <c r="D52" s="235" t="s">
        <v>449</v>
      </c>
      <c r="E52" s="30" t="s">
        <v>150</v>
      </c>
      <c r="F52" s="25"/>
      <c r="G52" s="45">
        <f>IFERROR(VLOOKUP(tblRiskRegister15[[#This Row],[Asset Class]],tblVCDBIndex[],4,FALSE),"")</f>
        <v>3</v>
      </c>
      <c r="H52" s="45" t="str">
        <f>IFERROR(VLOOKUP(10*tblRiskRegister15[[#This Row],[Safeguard Maturity Score]]+tblRiskRegister15[[#This Row],[VCDB Index]],tblHITIndexWeightTable[],4,FALSE),"")</f>
        <v/>
      </c>
      <c r="I52" s="45">
        <f>VLOOKUP(tblRiskRegister15[[#This Row],[Asset Class]],tblImpactIndex17[],2,FALSE)</f>
        <v>0</v>
      </c>
      <c r="J52" s="45">
        <f>VLOOKUP(tblRiskRegister15[[#This Row],[Asset Class]],tblImpactIndex17[],3,FALSE)</f>
        <v>0</v>
      </c>
      <c r="K52" s="45">
        <f>VLOOKUP(tblRiskRegister15[[#This Row],[Asset Class]],tblImpactIndex17[],4,FALSE)</f>
        <v>0</v>
      </c>
      <c r="L52" s="45" t="str">
        <f>IFERROR(MAX(tblRiskRegister15[[#This Row],[Impact to Mission]:[Impact to Obligations]])*tblRiskRegister15[[#This Row],[Expectancy Score]],"")</f>
        <v/>
      </c>
      <c r="M52" s="45" t="str">
        <f>tblRiskRegister15[[#This Row],[Risk Score]]</f>
        <v/>
      </c>
      <c r="N52" s="203"/>
      <c r="O52" s="29">
        <v>5.0999999999999996</v>
      </c>
      <c r="P52" s="30" t="s">
        <v>111</v>
      </c>
      <c r="Q52" s="30" t="s">
        <v>226</v>
      </c>
      <c r="R52" s="24"/>
      <c r="S52" s="25"/>
      <c r="T52" s="46" t="str">
        <f>IFERROR(VLOOKUP(10*tblRiskRegister15[[#This Row],[Risk Treatment Safeguard Maturity Score]]+tblRiskRegister15[[#This Row],[VCDB Index]],tblHITIndexWeightTable[],4,FALSE),"")</f>
        <v/>
      </c>
      <c r="U52" s="46">
        <f>VLOOKUP(tblRiskRegister15[[#This Row],[Asset Class]],tblImpactIndex17[],2,FALSE)</f>
        <v>0</v>
      </c>
      <c r="V52" s="46">
        <f>VLOOKUP(tblRiskRegister15[[#This Row],[Asset Class]],tblImpactIndex17[],3,FALSE)</f>
        <v>0</v>
      </c>
      <c r="W52" s="46">
        <f>VLOOKUP(tblRiskRegister15[[#This Row],[Asset Class]],tblImpactIndex17[],4,FALSE)</f>
        <v>0</v>
      </c>
      <c r="X52" s="46" t="str">
        <f>IFERROR(MAX(tblRiskRegister15[[#This Row],[Risk Treatment Safeguard Impact to Mission]:[Risk Treatment Safeguard Impact to Obligations]])*tblRiskRegister15[[#This Row],[Risk Treatment
Safeguard Expectancy Score]],"")</f>
        <v/>
      </c>
      <c r="Y52" s="46" t="str">
        <f>IF(tblRiskRegister15[[#This Row],[Risk Score]]&gt;5,IF(tblRiskRegister15[[#This Row],[Risk Treatment Safeguard Risk Score]]&lt;6, IF(tblRiskRegister15[[#This Row],[Risk Treatment Safeguard Risk Score]]&lt;=tblRiskRegister15[[#This Row],[Risk Score]],"Yes","No"),"No"),"Yes")</f>
        <v>No</v>
      </c>
      <c r="Z52" s="26"/>
      <c r="AA52" s="26"/>
      <c r="AB52" s="27"/>
    </row>
    <row r="53" spans="2:28" ht="38.25" x14ac:dyDescent="0.2">
      <c r="B53" s="29">
        <v>5.2</v>
      </c>
      <c r="C53" s="30" t="s">
        <v>23</v>
      </c>
      <c r="D53" s="235" t="s">
        <v>451</v>
      </c>
      <c r="E53" s="30" t="s">
        <v>150</v>
      </c>
      <c r="F53" s="25"/>
      <c r="G53" s="45">
        <f>IFERROR(VLOOKUP(tblRiskRegister15[[#This Row],[Asset Class]],tblVCDBIndex[],4,FALSE),"")</f>
        <v>3</v>
      </c>
      <c r="H53" s="45" t="str">
        <f>IFERROR(VLOOKUP(10*tblRiskRegister15[[#This Row],[Safeguard Maturity Score]]+tblRiskRegister15[[#This Row],[VCDB Index]],tblHITIndexWeightTable[],4,FALSE),"")</f>
        <v/>
      </c>
      <c r="I53" s="45">
        <f>VLOOKUP(tblRiskRegister15[[#This Row],[Asset Class]],tblImpactIndex17[],2,FALSE)</f>
        <v>0</v>
      </c>
      <c r="J53" s="45">
        <f>VLOOKUP(tblRiskRegister15[[#This Row],[Asset Class]],tblImpactIndex17[],3,FALSE)</f>
        <v>0</v>
      </c>
      <c r="K53" s="45">
        <f>VLOOKUP(tblRiskRegister15[[#This Row],[Asset Class]],tblImpactIndex17[],4,FALSE)</f>
        <v>0</v>
      </c>
      <c r="L53" s="45" t="str">
        <f>IFERROR(MAX(tblRiskRegister15[[#This Row],[Impact to Mission]:[Impact to Obligations]])*tblRiskRegister15[[#This Row],[Expectancy Score]],"")</f>
        <v/>
      </c>
      <c r="M53" s="45" t="str">
        <f>tblRiskRegister15[[#This Row],[Risk Score]]</f>
        <v/>
      </c>
      <c r="N53" s="203"/>
      <c r="O53" s="29">
        <v>5.2</v>
      </c>
      <c r="P53" s="30" t="s">
        <v>23</v>
      </c>
      <c r="Q53" s="30" t="s">
        <v>227</v>
      </c>
      <c r="R53" s="24"/>
      <c r="S53" s="25"/>
      <c r="T53" s="46" t="str">
        <f>IFERROR(VLOOKUP(10*tblRiskRegister15[[#This Row],[Risk Treatment Safeguard Maturity Score]]+tblRiskRegister15[[#This Row],[VCDB Index]],tblHITIndexWeightTable[],4,FALSE),"")</f>
        <v/>
      </c>
      <c r="U53" s="46">
        <f>VLOOKUP(tblRiskRegister15[[#This Row],[Asset Class]],tblImpactIndex17[],2,FALSE)</f>
        <v>0</v>
      </c>
      <c r="V53" s="46">
        <f>VLOOKUP(tblRiskRegister15[[#This Row],[Asset Class]],tblImpactIndex17[],3,FALSE)</f>
        <v>0</v>
      </c>
      <c r="W53" s="46">
        <f>VLOOKUP(tblRiskRegister15[[#This Row],[Asset Class]],tblImpactIndex17[],4,FALSE)</f>
        <v>0</v>
      </c>
      <c r="X53" s="46" t="str">
        <f>IFERROR(MAX(tblRiskRegister15[[#This Row],[Risk Treatment Safeguard Impact to Mission]:[Risk Treatment Safeguard Impact to Obligations]])*tblRiskRegister15[[#This Row],[Risk Treatment
Safeguard Expectancy Score]],"")</f>
        <v/>
      </c>
      <c r="Y53" s="46" t="str">
        <f>IF(tblRiskRegister15[[#This Row],[Risk Score]]&gt;5,IF(tblRiskRegister15[[#This Row],[Risk Treatment Safeguard Risk Score]]&lt;6, IF(tblRiskRegister15[[#This Row],[Risk Treatment Safeguard Risk Score]]&lt;=tblRiskRegister15[[#This Row],[Risk Score]],"Yes","No"),"No"),"Yes")</f>
        <v>No</v>
      </c>
      <c r="Z53" s="26"/>
      <c r="AA53" s="26"/>
      <c r="AB53" s="27"/>
    </row>
    <row r="54" spans="2:28" ht="25.5" x14ac:dyDescent="0.2">
      <c r="B54" s="29">
        <v>5.3</v>
      </c>
      <c r="C54" s="30" t="s">
        <v>34</v>
      </c>
      <c r="D54" s="235" t="s">
        <v>450</v>
      </c>
      <c r="E54" s="30" t="s">
        <v>150</v>
      </c>
      <c r="F54" s="25"/>
      <c r="G54" s="45">
        <f>IFERROR(VLOOKUP(tblRiskRegister15[[#This Row],[Asset Class]],tblVCDBIndex[],4,FALSE),"")</f>
        <v>3</v>
      </c>
      <c r="H54" s="45" t="str">
        <f>IFERROR(VLOOKUP(10*tblRiskRegister15[[#This Row],[Safeguard Maturity Score]]+tblRiskRegister15[[#This Row],[VCDB Index]],tblHITIndexWeightTable[],4,FALSE),"")</f>
        <v/>
      </c>
      <c r="I54" s="45">
        <f>VLOOKUP(tblRiskRegister15[[#This Row],[Asset Class]],tblImpactIndex17[],2,FALSE)</f>
        <v>0</v>
      </c>
      <c r="J54" s="45">
        <f>VLOOKUP(tblRiskRegister15[[#This Row],[Asset Class]],tblImpactIndex17[],3,FALSE)</f>
        <v>0</v>
      </c>
      <c r="K54" s="45">
        <f>VLOOKUP(tblRiskRegister15[[#This Row],[Asset Class]],tblImpactIndex17[],4,FALSE)</f>
        <v>0</v>
      </c>
      <c r="L54" s="45" t="str">
        <f>IFERROR(MAX(tblRiskRegister15[[#This Row],[Impact to Mission]:[Impact to Obligations]])*tblRiskRegister15[[#This Row],[Expectancy Score]],"")</f>
        <v/>
      </c>
      <c r="M54" s="45" t="str">
        <f>tblRiskRegister15[[#This Row],[Risk Score]]</f>
        <v/>
      </c>
      <c r="N54" s="203"/>
      <c r="O54" s="29">
        <v>5.3</v>
      </c>
      <c r="P54" s="30" t="s">
        <v>34</v>
      </c>
      <c r="Q54" s="30" t="s">
        <v>228</v>
      </c>
      <c r="R54" s="24"/>
      <c r="S54" s="25"/>
      <c r="T54" s="46" t="str">
        <f>IFERROR(VLOOKUP(10*tblRiskRegister15[[#This Row],[Risk Treatment Safeguard Maturity Score]]+tblRiskRegister15[[#This Row],[VCDB Index]],tblHITIndexWeightTable[],4,FALSE),"")</f>
        <v/>
      </c>
      <c r="U54" s="46">
        <f>VLOOKUP(tblRiskRegister15[[#This Row],[Asset Class]],tblImpactIndex17[],2,FALSE)</f>
        <v>0</v>
      </c>
      <c r="V54" s="46">
        <f>VLOOKUP(tblRiskRegister15[[#This Row],[Asset Class]],tblImpactIndex17[],3,FALSE)</f>
        <v>0</v>
      </c>
      <c r="W54" s="46">
        <f>VLOOKUP(tblRiskRegister15[[#This Row],[Asset Class]],tblImpactIndex17[],4,FALSE)</f>
        <v>0</v>
      </c>
      <c r="X54" s="46" t="str">
        <f>IFERROR(MAX(tblRiskRegister15[[#This Row],[Risk Treatment Safeguard Impact to Mission]:[Risk Treatment Safeguard Impact to Obligations]])*tblRiskRegister15[[#This Row],[Risk Treatment
Safeguard Expectancy Score]],"")</f>
        <v/>
      </c>
      <c r="Y54" s="46" t="str">
        <f>IF(tblRiskRegister15[[#This Row],[Risk Score]]&gt;5,IF(tblRiskRegister15[[#This Row],[Risk Treatment Safeguard Risk Score]]&lt;6, IF(tblRiskRegister15[[#This Row],[Risk Treatment Safeguard Risk Score]]&lt;=tblRiskRegister15[[#This Row],[Risk Score]],"Yes","No"),"No"),"Yes")</f>
        <v>No</v>
      </c>
      <c r="Z54" s="26"/>
      <c r="AA54" s="26"/>
      <c r="AB54" s="27"/>
    </row>
    <row r="55" spans="2:28" ht="38.25" x14ac:dyDescent="0.2">
      <c r="B55" s="29">
        <v>5.4</v>
      </c>
      <c r="C55" s="30" t="s">
        <v>112</v>
      </c>
      <c r="D55" s="235" t="s">
        <v>451</v>
      </c>
      <c r="E55" s="30" t="s">
        <v>150</v>
      </c>
      <c r="F55" s="25"/>
      <c r="G55" s="45">
        <f>IFERROR(VLOOKUP(tblRiskRegister15[[#This Row],[Asset Class]],tblVCDBIndex[],4,FALSE),"")</f>
        <v>3</v>
      </c>
      <c r="H55" s="45" t="str">
        <f>IFERROR(VLOOKUP(10*tblRiskRegister15[[#This Row],[Safeguard Maturity Score]]+tblRiskRegister15[[#This Row],[VCDB Index]],tblHITIndexWeightTable[],4,FALSE),"")</f>
        <v/>
      </c>
      <c r="I55" s="45">
        <f>VLOOKUP(tblRiskRegister15[[#This Row],[Asset Class]],tblImpactIndex17[],2,FALSE)</f>
        <v>0</v>
      </c>
      <c r="J55" s="45">
        <f>VLOOKUP(tblRiskRegister15[[#This Row],[Asset Class]],tblImpactIndex17[],3,FALSE)</f>
        <v>0</v>
      </c>
      <c r="K55" s="45">
        <f>VLOOKUP(tblRiskRegister15[[#This Row],[Asset Class]],tblImpactIndex17[],4,FALSE)</f>
        <v>0</v>
      </c>
      <c r="L55" s="45" t="str">
        <f>IFERROR(MAX(tblRiskRegister15[[#This Row],[Impact to Mission]:[Impact to Obligations]])*tblRiskRegister15[[#This Row],[Expectancy Score]],"")</f>
        <v/>
      </c>
      <c r="M55" s="45" t="str">
        <f>tblRiskRegister15[[#This Row],[Risk Score]]</f>
        <v/>
      </c>
      <c r="N55" s="203"/>
      <c r="O55" s="29">
        <v>5.4</v>
      </c>
      <c r="P55" s="30" t="s">
        <v>112</v>
      </c>
      <c r="Q55" s="30" t="s">
        <v>229</v>
      </c>
      <c r="R55" s="24"/>
      <c r="S55" s="25"/>
      <c r="T55" s="46" t="str">
        <f>IFERROR(VLOOKUP(10*tblRiskRegister15[[#This Row],[Risk Treatment Safeguard Maturity Score]]+tblRiskRegister15[[#This Row],[VCDB Index]],tblHITIndexWeightTable[],4,FALSE),"")</f>
        <v/>
      </c>
      <c r="U55" s="46">
        <f>VLOOKUP(tblRiskRegister15[[#This Row],[Asset Class]],tblImpactIndex17[],2,FALSE)</f>
        <v>0</v>
      </c>
      <c r="V55" s="46">
        <f>VLOOKUP(tblRiskRegister15[[#This Row],[Asset Class]],tblImpactIndex17[],3,FALSE)</f>
        <v>0</v>
      </c>
      <c r="W55" s="46">
        <f>VLOOKUP(tblRiskRegister15[[#This Row],[Asset Class]],tblImpactIndex17[],4,FALSE)</f>
        <v>0</v>
      </c>
      <c r="X55" s="46" t="str">
        <f>IFERROR(MAX(tblRiskRegister15[[#This Row],[Risk Treatment Safeguard Impact to Mission]:[Risk Treatment Safeguard Impact to Obligations]])*tblRiskRegister15[[#This Row],[Risk Treatment
Safeguard Expectancy Score]],"")</f>
        <v/>
      </c>
      <c r="Y55" s="46" t="str">
        <f>IF(tblRiskRegister15[[#This Row],[Risk Score]]&gt;5,IF(tblRiskRegister15[[#This Row],[Risk Treatment Safeguard Risk Score]]&lt;6, IF(tblRiskRegister15[[#This Row],[Risk Treatment Safeguard Risk Score]]&lt;=tblRiskRegister15[[#This Row],[Risk Score]],"Yes","No"),"No"),"Yes")</f>
        <v>No</v>
      </c>
      <c r="Z55" s="26"/>
      <c r="AA55" s="26"/>
      <c r="AB55" s="27"/>
    </row>
    <row r="56" spans="2:28" ht="25.5" x14ac:dyDescent="0.2">
      <c r="B56" s="29">
        <v>6.1</v>
      </c>
      <c r="C56" s="30" t="s">
        <v>113</v>
      </c>
      <c r="D56" s="235" t="s">
        <v>451</v>
      </c>
      <c r="E56" s="30" t="s">
        <v>150</v>
      </c>
      <c r="F56" s="25"/>
      <c r="G56" s="45">
        <f>IFERROR(VLOOKUP(tblRiskRegister15[[#This Row],[Asset Class]],tblVCDBIndex[],4,FALSE),"")</f>
        <v>3</v>
      </c>
      <c r="H56" s="45" t="str">
        <f>IFERROR(VLOOKUP(10*tblRiskRegister15[[#This Row],[Safeguard Maturity Score]]+tblRiskRegister15[[#This Row],[VCDB Index]],tblHITIndexWeightTable[],4,FALSE),"")</f>
        <v/>
      </c>
      <c r="I56" s="45">
        <f>VLOOKUP(tblRiskRegister15[[#This Row],[Asset Class]],tblImpactIndex17[],2,FALSE)</f>
        <v>0</v>
      </c>
      <c r="J56" s="45">
        <f>VLOOKUP(tblRiskRegister15[[#This Row],[Asset Class]],tblImpactIndex17[],3,FALSE)</f>
        <v>0</v>
      </c>
      <c r="K56" s="45">
        <f>VLOOKUP(tblRiskRegister15[[#This Row],[Asset Class]],tblImpactIndex17[],4,FALSE)</f>
        <v>0</v>
      </c>
      <c r="L56" s="45" t="str">
        <f>IFERROR(MAX(tblRiskRegister15[[#This Row],[Impact to Mission]:[Impact to Obligations]])*tblRiskRegister15[[#This Row],[Expectancy Score]],"")</f>
        <v/>
      </c>
      <c r="M56" s="45" t="str">
        <f>tblRiskRegister15[[#This Row],[Risk Score]]</f>
        <v/>
      </c>
      <c r="N56" s="203"/>
      <c r="O56" s="29">
        <v>6.1</v>
      </c>
      <c r="P56" s="30" t="s">
        <v>113</v>
      </c>
      <c r="Q56" s="30" t="s">
        <v>230</v>
      </c>
      <c r="R56" s="24"/>
      <c r="S56" s="25"/>
      <c r="T56" s="46" t="str">
        <f>IFERROR(VLOOKUP(10*tblRiskRegister15[[#This Row],[Risk Treatment Safeguard Maturity Score]]+tblRiskRegister15[[#This Row],[VCDB Index]],tblHITIndexWeightTable[],4,FALSE),"")</f>
        <v/>
      </c>
      <c r="U56" s="46">
        <f>VLOOKUP(tblRiskRegister15[[#This Row],[Asset Class]],tblImpactIndex17[],2,FALSE)</f>
        <v>0</v>
      </c>
      <c r="V56" s="46">
        <f>VLOOKUP(tblRiskRegister15[[#This Row],[Asset Class]],tblImpactIndex17[],3,FALSE)</f>
        <v>0</v>
      </c>
      <c r="W56" s="46">
        <f>VLOOKUP(tblRiskRegister15[[#This Row],[Asset Class]],tblImpactIndex17[],4,FALSE)</f>
        <v>0</v>
      </c>
      <c r="X56" s="46" t="str">
        <f>IFERROR(MAX(tblRiskRegister15[[#This Row],[Risk Treatment Safeguard Impact to Mission]:[Risk Treatment Safeguard Impact to Obligations]])*tblRiskRegister15[[#This Row],[Risk Treatment
Safeguard Expectancy Score]],"")</f>
        <v/>
      </c>
      <c r="Y56" s="46" t="str">
        <f>IF(tblRiskRegister15[[#This Row],[Risk Score]]&gt;5,IF(tblRiskRegister15[[#This Row],[Risk Treatment Safeguard Risk Score]]&lt;6, IF(tblRiskRegister15[[#This Row],[Risk Treatment Safeguard Risk Score]]&lt;=tblRiskRegister15[[#This Row],[Risk Score]],"Yes","No"),"No"),"Yes")</f>
        <v>No</v>
      </c>
      <c r="Z56" s="26"/>
      <c r="AA56" s="26"/>
      <c r="AB56" s="27"/>
    </row>
    <row r="57" spans="2:28" ht="38.25" x14ac:dyDescent="0.2">
      <c r="B57" s="29">
        <v>6.2</v>
      </c>
      <c r="C57" s="30" t="s">
        <v>114</v>
      </c>
      <c r="D57" s="235" t="s">
        <v>451</v>
      </c>
      <c r="E57" s="30" t="s">
        <v>150</v>
      </c>
      <c r="F57" s="25"/>
      <c r="G57" s="45">
        <f>IFERROR(VLOOKUP(tblRiskRegister15[[#This Row],[Asset Class]],tblVCDBIndex[],4,FALSE),"")</f>
        <v>3</v>
      </c>
      <c r="H57" s="45" t="str">
        <f>IFERROR(VLOOKUP(10*tblRiskRegister15[[#This Row],[Safeguard Maturity Score]]+tblRiskRegister15[[#This Row],[VCDB Index]],tblHITIndexWeightTable[],4,FALSE),"")</f>
        <v/>
      </c>
      <c r="I57" s="45">
        <f>VLOOKUP(tblRiskRegister15[[#This Row],[Asset Class]],tblImpactIndex17[],2,FALSE)</f>
        <v>0</v>
      </c>
      <c r="J57" s="45">
        <f>VLOOKUP(tblRiskRegister15[[#This Row],[Asset Class]],tblImpactIndex17[],3,FALSE)</f>
        <v>0</v>
      </c>
      <c r="K57" s="45">
        <f>VLOOKUP(tblRiskRegister15[[#This Row],[Asset Class]],tblImpactIndex17[],4,FALSE)</f>
        <v>0</v>
      </c>
      <c r="L57" s="45" t="str">
        <f>IFERROR(MAX(tblRiskRegister15[[#This Row],[Impact to Mission]:[Impact to Obligations]])*tblRiskRegister15[[#This Row],[Expectancy Score]],"")</f>
        <v/>
      </c>
      <c r="M57" s="45" t="str">
        <f>tblRiskRegister15[[#This Row],[Risk Score]]</f>
        <v/>
      </c>
      <c r="N57" s="203"/>
      <c r="O57" s="29">
        <v>6.2</v>
      </c>
      <c r="P57" s="30" t="s">
        <v>114</v>
      </c>
      <c r="Q57" s="30" t="s">
        <v>231</v>
      </c>
      <c r="R57" s="24"/>
      <c r="S57" s="25"/>
      <c r="T57" s="46" t="str">
        <f>IFERROR(VLOOKUP(10*tblRiskRegister15[[#This Row],[Risk Treatment Safeguard Maturity Score]]+tblRiskRegister15[[#This Row],[VCDB Index]],tblHITIndexWeightTable[],4,FALSE),"")</f>
        <v/>
      </c>
      <c r="U57" s="46">
        <f>VLOOKUP(tblRiskRegister15[[#This Row],[Asset Class]],tblImpactIndex17[],2,FALSE)</f>
        <v>0</v>
      </c>
      <c r="V57" s="46">
        <f>VLOOKUP(tblRiskRegister15[[#This Row],[Asset Class]],tblImpactIndex17[],3,FALSE)</f>
        <v>0</v>
      </c>
      <c r="W57" s="46">
        <f>VLOOKUP(tblRiskRegister15[[#This Row],[Asset Class]],tblImpactIndex17[],4,FALSE)</f>
        <v>0</v>
      </c>
      <c r="X57" s="46" t="str">
        <f>IFERROR(MAX(tblRiskRegister15[[#This Row],[Risk Treatment Safeguard Impact to Mission]:[Risk Treatment Safeguard Impact to Obligations]])*tblRiskRegister15[[#This Row],[Risk Treatment
Safeguard Expectancy Score]],"")</f>
        <v/>
      </c>
      <c r="Y57" s="46" t="str">
        <f>IF(tblRiskRegister15[[#This Row],[Risk Score]]&gt;5,IF(tblRiskRegister15[[#This Row],[Risk Treatment Safeguard Risk Score]]&lt;6, IF(tblRiskRegister15[[#This Row],[Risk Treatment Safeguard Risk Score]]&lt;=tblRiskRegister15[[#This Row],[Risk Score]],"Yes","No"),"No"),"Yes")</f>
        <v>No</v>
      </c>
      <c r="Z57" s="26"/>
      <c r="AA57" s="26"/>
      <c r="AB57" s="27"/>
    </row>
    <row r="58" spans="2:28" ht="38.25" x14ac:dyDescent="0.2">
      <c r="B58" s="29">
        <v>6.3</v>
      </c>
      <c r="C58" s="30" t="s">
        <v>115</v>
      </c>
      <c r="D58" s="235" t="s">
        <v>451</v>
      </c>
      <c r="E58" s="30" t="s">
        <v>150</v>
      </c>
      <c r="F58" s="25"/>
      <c r="G58" s="45">
        <f>IFERROR(VLOOKUP(tblRiskRegister15[[#This Row],[Asset Class]],tblVCDBIndex[],4,FALSE),"")</f>
        <v>3</v>
      </c>
      <c r="H58" s="45" t="str">
        <f>IFERROR(VLOOKUP(10*tblRiskRegister15[[#This Row],[Safeguard Maturity Score]]+tblRiskRegister15[[#This Row],[VCDB Index]],tblHITIndexWeightTable[],4,FALSE),"")</f>
        <v/>
      </c>
      <c r="I58" s="45">
        <f>VLOOKUP(tblRiskRegister15[[#This Row],[Asset Class]],tblImpactIndex17[],2,FALSE)</f>
        <v>0</v>
      </c>
      <c r="J58" s="45">
        <f>VLOOKUP(tblRiskRegister15[[#This Row],[Asset Class]],tblImpactIndex17[],3,FALSE)</f>
        <v>0</v>
      </c>
      <c r="K58" s="45">
        <f>VLOOKUP(tblRiskRegister15[[#This Row],[Asset Class]],tblImpactIndex17[],4,FALSE)</f>
        <v>0</v>
      </c>
      <c r="L58" s="45" t="str">
        <f>IFERROR(MAX(tblRiskRegister15[[#This Row],[Impact to Mission]:[Impact to Obligations]])*tblRiskRegister15[[#This Row],[Expectancy Score]],"")</f>
        <v/>
      </c>
      <c r="M58" s="45" t="str">
        <f>tblRiskRegister15[[#This Row],[Risk Score]]</f>
        <v/>
      </c>
      <c r="N58" s="203"/>
      <c r="O58" s="29">
        <v>6.3</v>
      </c>
      <c r="P58" s="30" t="s">
        <v>115</v>
      </c>
      <c r="Q58" s="30" t="s">
        <v>232</v>
      </c>
      <c r="R58" s="24"/>
      <c r="S58" s="25"/>
      <c r="T58" s="46" t="str">
        <f>IFERROR(VLOOKUP(10*tblRiskRegister15[[#This Row],[Risk Treatment Safeguard Maturity Score]]+tblRiskRegister15[[#This Row],[VCDB Index]],tblHITIndexWeightTable[],4,FALSE),"")</f>
        <v/>
      </c>
      <c r="U58" s="46">
        <f>VLOOKUP(tblRiskRegister15[[#This Row],[Asset Class]],tblImpactIndex17[],2,FALSE)</f>
        <v>0</v>
      </c>
      <c r="V58" s="46">
        <f>VLOOKUP(tblRiskRegister15[[#This Row],[Asset Class]],tblImpactIndex17[],3,FALSE)</f>
        <v>0</v>
      </c>
      <c r="W58" s="46">
        <f>VLOOKUP(tblRiskRegister15[[#This Row],[Asset Class]],tblImpactIndex17[],4,FALSE)</f>
        <v>0</v>
      </c>
      <c r="X58" s="46" t="str">
        <f>IFERROR(MAX(tblRiskRegister15[[#This Row],[Risk Treatment Safeguard Impact to Mission]:[Risk Treatment Safeguard Impact to Obligations]])*tblRiskRegister15[[#This Row],[Risk Treatment
Safeguard Expectancy Score]],"")</f>
        <v/>
      </c>
      <c r="Y58" s="46" t="str">
        <f>IF(tblRiskRegister15[[#This Row],[Risk Score]]&gt;5,IF(tblRiskRegister15[[#This Row],[Risk Treatment Safeguard Risk Score]]&lt;6, IF(tblRiskRegister15[[#This Row],[Risk Treatment Safeguard Risk Score]]&lt;=tblRiskRegister15[[#This Row],[Risk Score]],"Yes","No"),"No"),"Yes")</f>
        <v>No</v>
      </c>
      <c r="Z58" s="26"/>
      <c r="AA58" s="26"/>
      <c r="AB58" s="27"/>
    </row>
    <row r="59" spans="2:28" ht="38.25" x14ac:dyDescent="0.2">
      <c r="B59" s="29">
        <v>6.4</v>
      </c>
      <c r="C59" s="30" t="s">
        <v>116</v>
      </c>
      <c r="D59" s="235" t="s">
        <v>451</v>
      </c>
      <c r="E59" s="30" t="s">
        <v>150</v>
      </c>
      <c r="F59" s="25"/>
      <c r="G59" s="45">
        <f>IFERROR(VLOOKUP(tblRiskRegister15[[#This Row],[Asset Class]],tblVCDBIndex[],4,FALSE),"")</f>
        <v>3</v>
      </c>
      <c r="H59" s="45" t="str">
        <f>IFERROR(VLOOKUP(10*tblRiskRegister15[[#This Row],[Safeguard Maturity Score]]+tblRiskRegister15[[#This Row],[VCDB Index]],tblHITIndexWeightTable[],4,FALSE),"")</f>
        <v/>
      </c>
      <c r="I59" s="45">
        <f>VLOOKUP(tblRiskRegister15[[#This Row],[Asset Class]],tblImpactIndex17[],2,FALSE)</f>
        <v>0</v>
      </c>
      <c r="J59" s="45">
        <f>VLOOKUP(tblRiskRegister15[[#This Row],[Asset Class]],tblImpactIndex17[],3,FALSE)</f>
        <v>0</v>
      </c>
      <c r="K59" s="45">
        <f>VLOOKUP(tblRiskRegister15[[#This Row],[Asset Class]],tblImpactIndex17[],4,FALSE)</f>
        <v>0</v>
      </c>
      <c r="L59" s="45" t="str">
        <f>IFERROR(MAX(tblRiskRegister15[[#This Row],[Impact to Mission]:[Impact to Obligations]])*tblRiskRegister15[[#This Row],[Expectancy Score]],"")</f>
        <v/>
      </c>
      <c r="M59" s="45" t="str">
        <f>tblRiskRegister15[[#This Row],[Risk Score]]</f>
        <v/>
      </c>
      <c r="N59" s="203"/>
      <c r="O59" s="29">
        <v>6.4</v>
      </c>
      <c r="P59" s="30" t="s">
        <v>116</v>
      </c>
      <c r="Q59" s="30" t="s">
        <v>233</v>
      </c>
      <c r="R59" s="24"/>
      <c r="S59" s="25"/>
      <c r="T59" s="46" t="str">
        <f>IFERROR(VLOOKUP(10*tblRiskRegister15[[#This Row],[Risk Treatment Safeguard Maturity Score]]+tblRiskRegister15[[#This Row],[VCDB Index]],tblHITIndexWeightTable[],4,FALSE),"")</f>
        <v/>
      </c>
      <c r="U59" s="46">
        <f>VLOOKUP(tblRiskRegister15[[#This Row],[Asset Class]],tblImpactIndex17[],2,FALSE)</f>
        <v>0</v>
      </c>
      <c r="V59" s="46">
        <f>VLOOKUP(tblRiskRegister15[[#This Row],[Asset Class]],tblImpactIndex17[],3,FALSE)</f>
        <v>0</v>
      </c>
      <c r="W59" s="46">
        <f>VLOOKUP(tblRiskRegister15[[#This Row],[Asset Class]],tblImpactIndex17[],4,FALSE)</f>
        <v>0</v>
      </c>
      <c r="X59" s="46" t="str">
        <f>IFERROR(MAX(tblRiskRegister15[[#This Row],[Risk Treatment Safeguard Impact to Mission]:[Risk Treatment Safeguard Impact to Obligations]])*tblRiskRegister15[[#This Row],[Risk Treatment
Safeguard Expectancy Score]],"")</f>
        <v/>
      </c>
      <c r="Y59" s="46" t="str">
        <f>IF(tblRiskRegister15[[#This Row],[Risk Score]]&gt;5,IF(tblRiskRegister15[[#This Row],[Risk Treatment Safeguard Risk Score]]&lt;6, IF(tblRiskRegister15[[#This Row],[Risk Treatment Safeguard Risk Score]]&lt;=tblRiskRegister15[[#This Row],[Risk Score]],"Yes","No"),"No"),"Yes")</f>
        <v>No</v>
      </c>
      <c r="Z59" s="26"/>
      <c r="AA59" s="26"/>
      <c r="AB59" s="27"/>
    </row>
    <row r="60" spans="2:28" ht="25.5" x14ac:dyDescent="0.2">
      <c r="B60" s="29">
        <v>6.5</v>
      </c>
      <c r="C60" s="30" t="s">
        <v>117</v>
      </c>
      <c r="D60" s="235" t="s">
        <v>451</v>
      </c>
      <c r="E60" s="30" t="s">
        <v>150</v>
      </c>
      <c r="F60" s="25"/>
      <c r="G60" s="45">
        <f>IFERROR(VLOOKUP(tblRiskRegister15[[#This Row],[Asset Class]],tblVCDBIndex[],4,FALSE),"")</f>
        <v>3</v>
      </c>
      <c r="H60" s="45" t="str">
        <f>IFERROR(VLOOKUP(10*tblRiskRegister15[[#This Row],[Safeguard Maturity Score]]+tblRiskRegister15[[#This Row],[VCDB Index]],tblHITIndexWeightTable[],4,FALSE),"")</f>
        <v/>
      </c>
      <c r="I60" s="45">
        <f>VLOOKUP(tblRiskRegister15[[#This Row],[Asset Class]],tblImpactIndex17[],2,FALSE)</f>
        <v>0</v>
      </c>
      <c r="J60" s="45">
        <f>VLOOKUP(tblRiskRegister15[[#This Row],[Asset Class]],tblImpactIndex17[],3,FALSE)</f>
        <v>0</v>
      </c>
      <c r="K60" s="45">
        <f>VLOOKUP(tblRiskRegister15[[#This Row],[Asset Class]],tblImpactIndex17[],4,FALSE)</f>
        <v>0</v>
      </c>
      <c r="L60" s="45" t="str">
        <f>IFERROR(MAX(tblRiskRegister15[[#This Row],[Impact to Mission]:[Impact to Obligations]])*tblRiskRegister15[[#This Row],[Expectancy Score]],"")</f>
        <v/>
      </c>
      <c r="M60" s="45" t="str">
        <f>tblRiskRegister15[[#This Row],[Risk Score]]</f>
        <v/>
      </c>
      <c r="N60" s="203"/>
      <c r="O60" s="29">
        <v>6.5</v>
      </c>
      <c r="P60" s="30" t="s">
        <v>117</v>
      </c>
      <c r="Q60" s="30" t="s">
        <v>234</v>
      </c>
      <c r="R60" s="24"/>
      <c r="S60" s="25"/>
      <c r="T60" s="46" t="str">
        <f>IFERROR(VLOOKUP(10*tblRiskRegister15[[#This Row],[Risk Treatment Safeguard Maturity Score]]+tblRiskRegister15[[#This Row],[VCDB Index]],tblHITIndexWeightTable[],4,FALSE),"")</f>
        <v/>
      </c>
      <c r="U60" s="46">
        <f>VLOOKUP(tblRiskRegister15[[#This Row],[Asset Class]],tblImpactIndex17[],2,FALSE)</f>
        <v>0</v>
      </c>
      <c r="V60" s="46">
        <f>VLOOKUP(tblRiskRegister15[[#This Row],[Asset Class]],tblImpactIndex17[],3,FALSE)</f>
        <v>0</v>
      </c>
      <c r="W60" s="46">
        <f>VLOOKUP(tblRiskRegister15[[#This Row],[Asset Class]],tblImpactIndex17[],4,FALSE)</f>
        <v>0</v>
      </c>
      <c r="X60" s="46" t="str">
        <f>IFERROR(MAX(tblRiskRegister15[[#This Row],[Risk Treatment Safeguard Impact to Mission]:[Risk Treatment Safeguard Impact to Obligations]])*tblRiskRegister15[[#This Row],[Risk Treatment
Safeguard Expectancy Score]],"")</f>
        <v/>
      </c>
      <c r="Y60" s="46" t="str">
        <f>IF(tblRiskRegister15[[#This Row],[Risk Score]]&gt;5,IF(tblRiskRegister15[[#This Row],[Risk Treatment Safeguard Risk Score]]&lt;6, IF(tblRiskRegister15[[#This Row],[Risk Treatment Safeguard Risk Score]]&lt;=tblRiskRegister15[[#This Row],[Risk Score]],"Yes","No"),"No"),"Yes")</f>
        <v>No</v>
      </c>
      <c r="Z60" s="26"/>
      <c r="AA60" s="26"/>
      <c r="AB60" s="27"/>
    </row>
    <row r="61" spans="2:28" ht="38.25" x14ac:dyDescent="0.2">
      <c r="B61" s="29">
        <v>7.1</v>
      </c>
      <c r="C61" s="30" t="s">
        <v>118</v>
      </c>
      <c r="D61" s="235" t="s">
        <v>451</v>
      </c>
      <c r="E61" s="30" t="s">
        <v>148</v>
      </c>
      <c r="F61" s="25"/>
      <c r="G61" s="45">
        <f>IFERROR(VLOOKUP(tblRiskRegister15[[#This Row],[Asset Class]],tblVCDBIndex[],4,FALSE),"")</f>
        <v>2</v>
      </c>
      <c r="H61" s="45" t="str">
        <f>IFERROR(VLOOKUP(10*tblRiskRegister15[[#This Row],[Safeguard Maturity Score]]+tblRiskRegister15[[#This Row],[VCDB Index]],tblHITIndexWeightTable[],4,FALSE),"")</f>
        <v/>
      </c>
      <c r="I61" s="45">
        <f>VLOOKUP(tblRiskRegister15[[#This Row],[Asset Class]],tblImpactIndex17[],2,FALSE)</f>
        <v>0</v>
      </c>
      <c r="J61" s="45">
        <f>VLOOKUP(tblRiskRegister15[[#This Row],[Asset Class]],tblImpactIndex17[],3,FALSE)</f>
        <v>0</v>
      </c>
      <c r="K61" s="45">
        <f>VLOOKUP(tblRiskRegister15[[#This Row],[Asset Class]],tblImpactIndex17[],4,FALSE)</f>
        <v>0</v>
      </c>
      <c r="L61" s="45" t="str">
        <f>IFERROR(MAX(tblRiskRegister15[[#This Row],[Impact to Mission]:[Impact to Obligations]])*tblRiskRegister15[[#This Row],[Expectancy Score]],"")</f>
        <v/>
      </c>
      <c r="M61" s="45" t="str">
        <f>tblRiskRegister15[[#This Row],[Risk Score]]</f>
        <v/>
      </c>
      <c r="N61" s="203"/>
      <c r="O61" s="29">
        <v>7.1</v>
      </c>
      <c r="P61" s="30" t="s">
        <v>118</v>
      </c>
      <c r="Q61" s="30" t="s">
        <v>235</v>
      </c>
      <c r="R61" s="24"/>
      <c r="S61" s="25"/>
      <c r="T61" s="46" t="str">
        <f>IFERROR(VLOOKUP(10*tblRiskRegister15[[#This Row],[Risk Treatment Safeguard Maturity Score]]+tblRiskRegister15[[#This Row],[VCDB Index]],tblHITIndexWeightTable[],4,FALSE),"")</f>
        <v/>
      </c>
      <c r="U61" s="46">
        <f>VLOOKUP(tblRiskRegister15[[#This Row],[Asset Class]],tblImpactIndex17[],2,FALSE)</f>
        <v>0</v>
      </c>
      <c r="V61" s="46">
        <f>VLOOKUP(tblRiskRegister15[[#This Row],[Asset Class]],tblImpactIndex17[],3,FALSE)</f>
        <v>0</v>
      </c>
      <c r="W61" s="46">
        <f>VLOOKUP(tblRiskRegister15[[#This Row],[Asset Class]],tblImpactIndex17[],4,FALSE)</f>
        <v>0</v>
      </c>
      <c r="X61" s="46" t="str">
        <f>IFERROR(MAX(tblRiskRegister15[[#This Row],[Risk Treatment Safeguard Impact to Mission]:[Risk Treatment Safeguard Impact to Obligations]])*tblRiskRegister15[[#This Row],[Risk Treatment
Safeguard Expectancy Score]],"")</f>
        <v/>
      </c>
      <c r="Y61" s="46" t="str">
        <f>IF(tblRiskRegister15[[#This Row],[Risk Score]]&gt;5,IF(tblRiskRegister15[[#This Row],[Risk Treatment Safeguard Risk Score]]&lt;6, IF(tblRiskRegister15[[#This Row],[Risk Treatment Safeguard Risk Score]]&lt;=tblRiskRegister15[[#This Row],[Risk Score]],"Yes","No"),"No"),"Yes")</f>
        <v>No</v>
      </c>
      <c r="Z61" s="26"/>
      <c r="AA61" s="26"/>
      <c r="AB61" s="27"/>
    </row>
    <row r="62" spans="2:28" ht="25.5" x14ac:dyDescent="0.2">
      <c r="B62" s="29">
        <v>7.2</v>
      </c>
      <c r="C62" s="30" t="s">
        <v>119</v>
      </c>
      <c r="D62" s="235" t="s">
        <v>450</v>
      </c>
      <c r="E62" s="30" t="s">
        <v>148</v>
      </c>
      <c r="F62" s="25"/>
      <c r="G62" s="45">
        <f>IFERROR(VLOOKUP(tblRiskRegister15[[#This Row],[Asset Class]],tblVCDBIndex[],4,FALSE),"")</f>
        <v>2</v>
      </c>
      <c r="H62" s="45" t="str">
        <f>IFERROR(VLOOKUP(10*tblRiskRegister15[[#This Row],[Safeguard Maturity Score]]+tblRiskRegister15[[#This Row],[VCDB Index]],tblHITIndexWeightTable[],4,FALSE),"")</f>
        <v/>
      </c>
      <c r="I62" s="45">
        <f>VLOOKUP(tblRiskRegister15[[#This Row],[Asset Class]],tblImpactIndex17[],2,FALSE)</f>
        <v>0</v>
      </c>
      <c r="J62" s="45">
        <f>VLOOKUP(tblRiskRegister15[[#This Row],[Asset Class]],tblImpactIndex17[],3,FALSE)</f>
        <v>0</v>
      </c>
      <c r="K62" s="45">
        <f>VLOOKUP(tblRiskRegister15[[#This Row],[Asset Class]],tblImpactIndex17[],4,FALSE)</f>
        <v>0</v>
      </c>
      <c r="L62" s="45" t="str">
        <f>IFERROR(MAX(tblRiskRegister15[[#This Row],[Impact to Mission]:[Impact to Obligations]])*tblRiskRegister15[[#This Row],[Expectancy Score]],"")</f>
        <v/>
      </c>
      <c r="M62" s="45" t="str">
        <f>tblRiskRegister15[[#This Row],[Risk Score]]</f>
        <v/>
      </c>
      <c r="N62" s="203"/>
      <c r="O62" s="29">
        <v>7.2</v>
      </c>
      <c r="P62" s="30" t="s">
        <v>119</v>
      </c>
      <c r="Q62" s="30" t="s">
        <v>236</v>
      </c>
      <c r="R62" s="24"/>
      <c r="S62" s="25"/>
      <c r="T62" s="46" t="str">
        <f>IFERROR(VLOOKUP(10*tblRiskRegister15[[#This Row],[Risk Treatment Safeguard Maturity Score]]+tblRiskRegister15[[#This Row],[VCDB Index]],tblHITIndexWeightTable[],4,FALSE),"")</f>
        <v/>
      </c>
      <c r="U62" s="46">
        <f>VLOOKUP(tblRiskRegister15[[#This Row],[Asset Class]],tblImpactIndex17[],2,FALSE)</f>
        <v>0</v>
      </c>
      <c r="V62" s="46">
        <f>VLOOKUP(tblRiskRegister15[[#This Row],[Asset Class]],tblImpactIndex17[],3,FALSE)</f>
        <v>0</v>
      </c>
      <c r="W62" s="46">
        <f>VLOOKUP(tblRiskRegister15[[#This Row],[Asset Class]],tblImpactIndex17[],4,FALSE)</f>
        <v>0</v>
      </c>
      <c r="X62" s="46" t="str">
        <f>IFERROR(MAX(tblRiskRegister15[[#This Row],[Risk Treatment Safeguard Impact to Mission]:[Risk Treatment Safeguard Impact to Obligations]])*tblRiskRegister15[[#This Row],[Risk Treatment
Safeguard Expectancy Score]],"")</f>
        <v/>
      </c>
      <c r="Y62" s="46" t="str">
        <f>IF(tblRiskRegister15[[#This Row],[Risk Score]]&gt;5,IF(tblRiskRegister15[[#This Row],[Risk Treatment Safeguard Risk Score]]&lt;6, IF(tblRiskRegister15[[#This Row],[Risk Treatment Safeguard Risk Score]]&lt;=tblRiskRegister15[[#This Row],[Risk Score]],"Yes","No"),"No"),"Yes")</f>
        <v>No</v>
      </c>
      <c r="Z62" s="26"/>
      <c r="AA62" s="26"/>
      <c r="AB62" s="27"/>
    </row>
    <row r="63" spans="2:28" ht="38.25" x14ac:dyDescent="0.2">
      <c r="B63" s="29">
        <v>7.3</v>
      </c>
      <c r="C63" s="30" t="s">
        <v>120</v>
      </c>
      <c r="D63" s="235" t="s">
        <v>451</v>
      </c>
      <c r="E63" s="30" t="s">
        <v>148</v>
      </c>
      <c r="F63" s="25"/>
      <c r="G63" s="45">
        <f>IFERROR(VLOOKUP(tblRiskRegister15[[#This Row],[Asset Class]],tblVCDBIndex[],4,FALSE),"")</f>
        <v>2</v>
      </c>
      <c r="H63" s="45" t="str">
        <f>IFERROR(VLOOKUP(10*tblRiskRegister15[[#This Row],[Safeguard Maturity Score]]+tblRiskRegister15[[#This Row],[VCDB Index]],tblHITIndexWeightTable[],4,FALSE),"")</f>
        <v/>
      </c>
      <c r="I63" s="45">
        <f>VLOOKUP(tblRiskRegister15[[#This Row],[Asset Class]],tblImpactIndex17[],2,FALSE)</f>
        <v>0</v>
      </c>
      <c r="J63" s="45">
        <f>VLOOKUP(tblRiskRegister15[[#This Row],[Asset Class]],tblImpactIndex17[],3,FALSE)</f>
        <v>0</v>
      </c>
      <c r="K63" s="45">
        <f>VLOOKUP(tblRiskRegister15[[#This Row],[Asset Class]],tblImpactIndex17[],4,FALSE)</f>
        <v>0</v>
      </c>
      <c r="L63" s="45" t="str">
        <f>IFERROR(MAX(tblRiskRegister15[[#This Row],[Impact to Mission]:[Impact to Obligations]])*tblRiskRegister15[[#This Row],[Expectancy Score]],"")</f>
        <v/>
      </c>
      <c r="M63" s="45" t="str">
        <f>tblRiskRegister15[[#This Row],[Risk Score]]</f>
        <v/>
      </c>
      <c r="N63" s="203"/>
      <c r="O63" s="29">
        <v>7.3</v>
      </c>
      <c r="P63" s="30" t="s">
        <v>120</v>
      </c>
      <c r="Q63" s="30" t="s">
        <v>237</v>
      </c>
      <c r="R63" s="24"/>
      <c r="S63" s="25"/>
      <c r="T63" s="46" t="str">
        <f>IFERROR(VLOOKUP(10*tblRiskRegister15[[#This Row],[Risk Treatment Safeguard Maturity Score]]+tblRiskRegister15[[#This Row],[VCDB Index]],tblHITIndexWeightTable[],4,FALSE),"")</f>
        <v/>
      </c>
      <c r="U63" s="46">
        <f>VLOOKUP(tblRiskRegister15[[#This Row],[Asset Class]],tblImpactIndex17[],2,FALSE)</f>
        <v>0</v>
      </c>
      <c r="V63" s="46">
        <f>VLOOKUP(tblRiskRegister15[[#This Row],[Asset Class]],tblImpactIndex17[],3,FALSE)</f>
        <v>0</v>
      </c>
      <c r="W63" s="46">
        <f>VLOOKUP(tblRiskRegister15[[#This Row],[Asset Class]],tblImpactIndex17[],4,FALSE)</f>
        <v>0</v>
      </c>
      <c r="X63" s="46" t="str">
        <f>IFERROR(MAX(tblRiskRegister15[[#This Row],[Risk Treatment Safeguard Impact to Mission]:[Risk Treatment Safeguard Impact to Obligations]])*tblRiskRegister15[[#This Row],[Risk Treatment
Safeguard Expectancy Score]],"")</f>
        <v/>
      </c>
      <c r="Y63" s="46" t="str">
        <f>IF(tblRiskRegister15[[#This Row],[Risk Score]]&gt;5,IF(tblRiskRegister15[[#This Row],[Risk Treatment Safeguard Risk Score]]&lt;6, IF(tblRiskRegister15[[#This Row],[Risk Treatment Safeguard Risk Score]]&lt;=tblRiskRegister15[[#This Row],[Risk Score]],"Yes","No"),"No"),"Yes")</f>
        <v>No</v>
      </c>
      <c r="Z63" s="26"/>
      <c r="AA63" s="26"/>
      <c r="AB63" s="27"/>
    </row>
    <row r="64" spans="2:28" ht="38.25" x14ac:dyDescent="0.2">
      <c r="B64" s="29">
        <v>7.4</v>
      </c>
      <c r="C64" s="30" t="s">
        <v>121</v>
      </c>
      <c r="D64" s="235" t="s">
        <v>451</v>
      </c>
      <c r="E64" s="30" t="s">
        <v>148</v>
      </c>
      <c r="F64" s="25"/>
      <c r="G64" s="45">
        <f>IFERROR(VLOOKUP(tblRiskRegister15[[#This Row],[Asset Class]],tblVCDBIndex[],4,FALSE),"")</f>
        <v>2</v>
      </c>
      <c r="H64" s="45" t="str">
        <f>IFERROR(VLOOKUP(10*tblRiskRegister15[[#This Row],[Safeguard Maturity Score]]+tblRiskRegister15[[#This Row],[VCDB Index]],tblHITIndexWeightTable[],4,FALSE),"")</f>
        <v/>
      </c>
      <c r="I64" s="45">
        <f>VLOOKUP(tblRiskRegister15[[#This Row],[Asset Class]],tblImpactIndex17[],2,FALSE)</f>
        <v>0</v>
      </c>
      <c r="J64" s="45">
        <f>VLOOKUP(tblRiskRegister15[[#This Row],[Asset Class]],tblImpactIndex17[],3,FALSE)</f>
        <v>0</v>
      </c>
      <c r="K64" s="45">
        <f>VLOOKUP(tblRiskRegister15[[#This Row],[Asset Class]],tblImpactIndex17[],4,FALSE)</f>
        <v>0</v>
      </c>
      <c r="L64" s="45" t="str">
        <f>IFERROR(MAX(tblRiskRegister15[[#This Row],[Impact to Mission]:[Impact to Obligations]])*tblRiskRegister15[[#This Row],[Expectancy Score]],"")</f>
        <v/>
      </c>
      <c r="M64" s="45" t="str">
        <f>tblRiskRegister15[[#This Row],[Risk Score]]</f>
        <v/>
      </c>
      <c r="N64" s="203"/>
      <c r="O64" s="29">
        <v>7.4</v>
      </c>
      <c r="P64" s="30" t="s">
        <v>121</v>
      </c>
      <c r="Q64" s="30" t="s">
        <v>238</v>
      </c>
      <c r="R64" s="24"/>
      <c r="S64" s="25"/>
      <c r="T64" s="46" t="str">
        <f>IFERROR(VLOOKUP(10*tblRiskRegister15[[#This Row],[Risk Treatment Safeguard Maturity Score]]+tblRiskRegister15[[#This Row],[VCDB Index]],tblHITIndexWeightTable[],4,FALSE),"")</f>
        <v/>
      </c>
      <c r="U64" s="46">
        <f>VLOOKUP(tblRiskRegister15[[#This Row],[Asset Class]],tblImpactIndex17[],2,FALSE)</f>
        <v>0</v>
      </c>
      <c r="V64" s="46">
        <f>VLOOKUP(tblRiskRegister15[[#This Row],[Asset Class]],tblImpactIndex17[],3,FALSE)</f>
        <v>0</v>
      </c>
      <c r="W64" s="46">
        <f>VLOOKUP(tblRiskRegister15[[#This Row],[Asset Class]],tblImpactIndex17[],4,FALSE)</f>
        <v>0</v>
      </c>
      <c r="X64" s="46" t="str">
        <f>IFERROR(MAX(tblRiskRegister15[[#This Row],[Risk Treatment Safeguard Impact to Mission]:[Risk Treatment Safeguard Impact to Obligations]])*tblRiskRegister15[[#This Row],[Risk Treatment
Safeguard Expectancy Score]],"")</f>
        <v/>
      </c>
      <c r="Y64" s="46" t="str">
        <f>IF(tblRiskRegister15[[#This Row],[Risk Score]]&gt;5,IF(tblRiskRegister15[[#This Row],[Risk Treatment Safeguard Risk Score]]&lt;6, IF(tblRiskRegister15[[#This Row],[Risk Treatment Safeguard Risk Score]]&lt;=tblRiskRegister15[[#This Row],[Risk Score]],"Yes","No"),"No"),"Yes")</f>
        <v>No</v>
      </c>
      <c r="Z64" s="26"/>
      <c r="AA64" s="26"/>
      <c r="AB64" s="27"/>
    </row>
    <row r="65" spans="2:28" ht="51" x14ac:dyDescent="0.2">
      <c r="B65" s="29">
        <v>8.1</v>
      </c>
      <c r="C65" s="30" t="s">
        <v>122</v>
      </c>
      <c r="D65" s="235" t="s">
        <v>451</v>
      </c>
      <c r="E65" s="30" t="s">
        <v>149</v>
      </c>
      <c r="F65" s="25"/>
      <c r="G65" s="45">
        <f>IFERROR(VLOOKUP(tblRiskRegister15[[#This Row],[Asset Class]],tblVCDBIndex[],4,FALSE),"")</f>
        <v>1</v>
      </c>
      <c r="H65" s="45" t="str">
        <f>IFERROR(VLOOKUP(10*tblRiskRegister15[[#This Row],[Safeguard Maturity Score]]+tblRiskRegister15[[#This Row],[VCDB Index]],tblHITIndexWeightTable[],4,FALSE),"")</f>
        <v/>
      </c>
      <c r="I65" s="45">
        <f>VLOOKUP(tblRiskRegister15[[#This Row],[Asset Class]],tblImpactIndex17[],2,FALSE)</f>
        <v>0</v>
      </c>
      <c r="J65" s="45">
        <f>VLOOKUP(tblRiskRegister15[[#This Row],[Asset Class]],tblImpactIndex17[],3,FALSE)</f>
        <v>0</v>
      </c>
      <c r="K65" s="45">
        <f>VLOOKUP(tblRiskRegister15[[#This Row],[Asset Class]],tblImpactIndex17[],4,FALSE)</f>
        <v>0</v>
      </c>
      <c r="L65" s="45" t="str">
        <f>IFERROR(MAX(tblRiskRegister15[[#This Row],[Impact to Mission]:[Impact to Obligations]])*tblRiskRegister15[[#This Row],[Expectancy Score]],"")</f>
        <v/>
      </c>
      <c r="M65" s="45" t="str">
        <f>tblRiskRegister15[[#This Row],[Risk Score]]</f>
        <v/>
      </c>
      <c r="N65" s="203"/>
      <c r="O65" s="29">
        <v>8.1</v>
      </c>
      <c r="P65" s="30" t="s">
        <v>122</v>
      </c>
      <c r="Q65" s="30" t="s">
        <v>264</v>
      </c>
      <c r="R65" s="24"/>
      <c r="S65" s="25"/>
      <c r="T65" s="46" t="str">
        <f>IFERROR(VLOOKUP(10*tblRiskRegister15[[#This Row],[Risk Treatment Safeguard Maturity Score]]+tblRiskRegister15[[#This Row],[VCDB Index]],tblHITIndexWeightTable[],4,FALSE),"")</f>
        <v/>
      </c>
      <c r="U65" s="46">
        <f>VLOOKUP(tblRiskRegister15[[#This Row],[Asset Class]],tblImpactIndex17[],2,FALSE)</f>
        <v>0</v>
      </c>
      <c r="V65" s="46">
        <f>VLOOKUP(tblRiskRegister15[[#This Row],[Asset Class]],tblImpactIndex17[],3,FALSE)</f>
        <v>0</v>
      </c>
      <c r="W65" s="46">
        <f>VLOOKUP(tblRiskRegister15[[#This Row],[Asset Class]],tblImpactIndex17[],4,FALSE)</f>
        <v>0</v>
      </c>
      <c r="X65" s="46" t="str">
        <f>IFERROR(MAX(tblRiskRegister15[[#This Row],[Risk Treatment Safeguard Impact to Mission]:[Risk Treatment Safeguard Impact to Obligations]])*tblRiskRegister15[[#This Row],[Risk Treatment
Safeguard Expectancy Score]],"")</f>
        <v/>
      </c>
      <c r="Y65" s="46" t="str">
        <f>IF(tblRiskRegister15[[#This Row],[Risk Score]]&gt;5,IF(tblRiskRegister15[[#This Row],[Risk Treatment Safeguard Risk Score]]&lt;6, IF(tblRiskRegister15[[#This Row],[Risk Treatment Safeguard Risk Score]]&lt;=tblRiskRegister15[[#This Row],[Risk Score]],"Yes","No"),"No"),"Yes")</f>
        <v>No</v>
      </c>
      <c r="Z65" s="26"/>
      <c r="AA65" s="26"/>
      <c r="AB65" s="27"/>
    </row>
    <row r="66" spans="2:28" ht="25.5" x14ac:dyDescent="0.2">
      <c r="B66" s="29">
        <v>8.1999999999999993</v>
      </c>
      <c r="C66" s="30" t="s">
        <v>123</v>
      </c>
      <c r="D66" s="235" t="s">
        <v>452</v>
      </c>
      <c r="E66" s="30" t="s">
        <v>149</v>
      </c>
      <c r="F66" s="25"/>
      <c r="G66" s="45">
        <f>IFERROR(VLOOKUP(tblRiskRegister15[[#This Row],[Asset Class]],tblVCDBIndex[],4,FALSE),"")</f>
        <v>1</v>
      </c>
      <c r="H66" s="45" t="str">
        <f>IFERROR(VLOOKUP(10*tblRiskRegister15[[#This Row],[Safeguard Maturity Score]]+tblRiskRegister15[[#This Row],[VCDB Index]],tblHITIndexWeightTable[],4,FALSE),"")</f>
        <v/>
      </c>
      <c r="I66" s="45">
        <f>VLOOKUP(tblRiskRegister15[[#This Row],[Asset Class]],tblImpactIndex17[],2,FALSE)</f>
        <v>0</v>
      </c>
      <c r="J66" s="45">
        <f>VLOOKUP(tblRiskRegister15[[#This Row],[Asset Class]],tblImpactIndex17[],3,FALSE)</f>
        <v>0</v>
      </c>
      <c r="K66" s="45">
        <f>VLOOKUP(tblRiskRegister15[[#This Row],[Asset Class]],tblImpactIndex17[],4,FALSE)</f>
        <v>0</v>
      </c>
      <c r="L66" s="45" t="str">
        <f>IFERROR(MAX(tblRiskRegister15[[#This Row],[Impact to Mission]:[Impact to Obligations]])*tblRiskRegister15[[#This Row],[Expectancy Score]],"")</f>
        <v/>
      </c>
      <c r="M66" s="45" t="str">
        <f>tblRiskRegister15[[#This Row],[Risk Score]]</f>
        <v/>
      </c>
      <c r="N66" s="203"/>
      <c r="O66" s="29">
        <v>8.1999999999999993</v>
      </c>
      <c r="P66" s="30" t="s">
        <v>123</v>
      </c>
      <c r="Q66" s="30" t="s">
        <v>239</v>
      </c>
      <c r="R66" s="24"/>
      <c r="S66" s="25"/>
      <c r="T66" s="46" t="str">
        <f>IFERROR(VLOOKUP(10*tblRiskRegister15[[#This Row],[Risk Treatment Safeguard Maturity Score]]+tblRiskRegister15[[#This Row],[VCDB Index]],tblHITIndexWeightTable[],4,FALSE),"")</f>
        <v/>
      </c>
      <c r="U66" s="46">
        <f>VLOOKUP(tblRiskRegister15[[#This Row],[Asset Class]],tblImpactIndex17[],2,FALSE)</f>
        <v>0</v>
      </c>
      <c r="V66" s="46">
        <f>VLOOKUP(tblRiskRegister15[[#This Row],[Asset Class]],tblImpactIndex17[],3,FALSE)</f>
        <v>0</v>
      </c>
      <c r="W66" s="46">
        <f>VLOOKUP(tblRiskRegister15[[#This Row],[Asset Class]],tblImpactIndex17[],4,FALSE)</f>
        <v>0</v>
      </c>
      <c r="X66" s="46" t="str">
        <f>IFERROR(MAX(tblRiskRegister15[[#This Row],[Risk Treatment Safeguard Impact to Mission]:[Risk Treatment Safeguard Impact to Obligations]])*tblRiskRegister15[[#This Row],[Risk Treatment
Safeguard Expectancy Score]],"")</f>
        <v/>
      </c>
      <c r="Y66" s="46" t="str">
        <f>IF(tblRiskRegister15[[#This Row],[Risk Score]]&gt;5,IF(tblRiskRegister15[[#This Row],[Risk Treatment Safeguard Risk Score]]&lt;6, IF(tblRiskRegister15[[#This Row],[Risk Treatment Safeguard Risk Score]]&lt;=tblRiskRegister15[[#This Row],[Risk Score]],"Yes","No"),"No"),"Yes")</f>
        <v>No</v>
      </c>
      <c r="Z66" s="26"/>
      <c r="AA66" s="26"/>
      <c r="AB66" s="27"/>
    </row>
    <row r="67" spans="2:28" ht="25.5" x14ac:dyDescent="0.2">
      <c r="B67" s="29">
        <v>8.3000000000000007</v>
      </c>
      <c r="C67" s="30" t="s">
        <v>124</v>
      </c>
      <c r="D67" s="235" t="s">
        <v>451</v>
      </c>
      <c r="E67" s="30" t="s">
        <v>149</v>
      </c>
      <c r="F67" s="25"/>
      <c r="G67" s="45">
        <f>IFERROR(VLOOKUP(tblRiskRegister15[[#This Row],[Asset Class]],tblVCDBIndex[],4,FALSE),"")</f>
        <v>1</v>
      </c>
      <c r="H67" s="45" t="str">
        <f>IFERROR(VLOOKUP(10*tblRiskRegister15[[#This Row],[Safeguard Maturity Score]]+tblRiskRegister15[[#This Row],[VCDB Index]],tblHITIndexWeightTable[],4,FALSE),"")</f>
        <v/>
      </c>
      <c r="I67" s="45">
        <f>VLOOKUP(tblRiskRegister15[[#This Row],[Asset Class]],tblImpactIndex17[],2,FALSE)</f>
        <v>0</v>
      </c>
      <c r="J67" s="45">
        <f>VLOOKUP(tblRiskRegister15[[#This Row],[Asset Class]],tblImpactIndex17[],3,FALSE)</f>
        <v>0</v>
      </c>
      <c r="K67" s="45">
        <f>VLOOKUP(tblRiskRegister15[[#This Row],[Asset Class]],tblImpactIndex17[],4,FALSE)</f>
        <v>0</v>
      </c>
      <c r="L67" s="45" t="str">
        <f>IFERROR(MAX(tblRiskRegister15[[#This Row],[Impact to Mission]:[Impact to Obligations]])*tblRiskRegister15[[#This Row],[Expectancy Score]],"")</f>
        <v/>
      </c>
      <c r="M67" s="45" t="str">
        <f>tblRiskRegister15[[#This Row],[Risk Score]]</f>
        <v/>
      </c>
      <c r="N67" s="203"/>
      <c r="O67" s="29">
        <v>8.3000000000000007</v>
      </c>
      <c r="P67" s="30" t="s">
        <v>124</v>
      </c>
      <c r="Q67" s="30" t="s">
        <v>240</v>
      </c>
      <c r="R67" s="24"/>
      <c r="S67" s="25"/>
      <c r="T67" s="46" t="str">
        <f>IFERROR(VLOOKUP(10*tblRiskRegister15[[#This Row],[Risk Treatment Safeguard Maturity Score]]+tblRiskRegister15[[#This Row],[VCDB Index]],tblHITIndexWeightTable[],4,FALSE),"")</f>
        <v/>
      </c>
      <c r="U67" s="46">
        <f>VLOOKUP(tblRiskRegister15[[#This Row],[Asset Class]],tblImpactIndex17[],2,FALSE)</f>
        <v>0</v>
      </c>
      <c r="V67" s="46">
        <f>VLOOKUP(tblRiskRegister15[[#This Row],[Asset Class]],tblImpactIndex17[],3,FALSE)</f>
        <v>0</v>
      </c>
      <c r="W67" s="46">
        <f>VLOOKUP(tblRiskRegister15[[#This Row],[Asset Class]],tblImpactIndex17[],4,FALSE)</f>
        <v>0</v>
      </c>
      <c r="X67" s="46" t="str">
        <f>IFERROR(MAX(tblRiskRegister15[[#This Row],[Risk Treatment Safeguard Impact to Mission]:[Risk Treatment Safeguard Impact to Obligations]])*tblRiskRegister15[[#This Row],[Risk Treatment
Safeguard Expectancy Score]],"")</f>
        <v/>
      </c>
      <c r="Y67" s="46" t="str">
        <f>IF(tblRiskRegister15[[#This Row],[Risk Score]]&gt;5,IF(tblRiskRegister15[[#This Row],[Risk Treatment Safeguard Risk Score]]&lt;6, IF(tblRiskRegister15[[#This Row],[Risk Treatment Safeguard Risk Score]]&lt;=tblRiskRegister15[[#This Row],[Risk Score]],"Yes","No"),"No"),"Yes")</f>
        <v>No</v>
      </c>
      <c r="Z67" s="26"/>
      <c r="AA67" s="26"/>
      <c r="AB67" s="27"/>
    </row>
    <row r="68" spans="2:28" ht="51" x14ac:dyDescent="0.2">
      <c r="B68" s="29">
        <v>9.1</v>
      </c>
      <c r="C68" s="30" t="s">
        <v>25</v>
      </c>
      <c r="D68" s="235" t="s">
        <v>451</v>
      </c>
      <c r="E68" s="30" t="s">
        <v>148</v>
      </c>
      <c r="F68" s="25"/>
      <c r="G68" s="45">
        <f>IFERROR(VLOOKUP(tblRiskRegister15[[#This Row],[Asset Class]],tblVCDBIndex[],4,FALSE),"")</f>
        <v>2</v>
      </c>
      <c r="H68" s="45" t="str">
        <f>IFERROR(VLOOKUP(10*tblRiskRegister15[[#This Row],[Safeguard Maturity Score]]+tblRiskRegister15[[#This Row],[VCDB Index]],tblHITIndexWeightTable[],4,FALSE),"")</f>
        <v/>
      </c>
      <c r="I68" s="45">
        <f>VLOOKUP(tblRiskRegister15[[#This Row],[Asset Class]],tblImpactIndex17[],2,FALSE)</f>
        <v>0</v>
      </c>
      <c r="J68" s="45">
        <f>VLOOKUP(tblRiskRegister15[[#This Row],[Asset Class]],tblImpactIndex17[],3,FALSE)</f>
        <v>0</v>
      </c>
      <c r="K68" s="45">
        <f>VLOOKUP(tblRiskRegister15[[#This Row],[Asset Class]],tblImpactIndex17[],4,FALSE)</f>
        <v>0</v>
      </c>
      <c r="L68" s="45" t="str">
        <f>IFERROR(MAX(tblRiskRegister15[[#This Row],[Impact to Mission]:[Impact to Obligations]])*tblRiskRegister15[[#This Row],[Expectancy Score]],"")</f>
        <v/>
      </c>
      <c r="M68" s="45" t="str">
        <f>tblRiskRegister15[[#This Row],[Risk Score]]</f>
        <v/>
      </c>
      <c r="N68" s="203"/>
      <c r="O68" s="29">
        <v>9.1</v>
      </c>
      <c r="P68" s="30" t="s">
        <v>25</v>
      </c>
      <c r="Q68" s="30" t="s">
        <v>241</v>
      </c>
      <c r="R68" s="24"/>
      <c r="S68" s="25"/>
      <c r="T68" s="46" t="str">
        <f>IFERROR(VLOOKUP(10*tblRiskRegister15[[#This Row],[Risk Treatment Safeguard Maturity Score]]+tblRiskRegister15[[#This Row],[VCDB Index]],tblHITIndexWeightTable[],4,FALSE),"")</f>
        <v/>
      </c>
      <c r="U68" s="46">
        <f>VLOOKUP(tblRiskRegister15[[#This Row],[Asset Class]],tblImpactIndex17[],2,FALSE)</f>
        <v>0</v>
      </c>
      <c r="V68" s="46">
        <f>VLOOKUP(tblRiskRegister15[[#This Row],[Asset Class]],tblImpactIndex17[],3,FALSE)</f>
        <v>0</v>
      </c>
      <c r="W68" s="46">
        <f>VLOOKUP(tblRiskRegister15[[#This Row],[Asset Class]],tblImpactIndex17[],4,FALSE)</f>
        <v>0</v>
      </c>
      <c r="X68" s="46" t="str">
        <f>IFERROR(MAX(tblRiskRegister15[[#This Row],[Risk Treatment Safeguard Impact to Mission]:[Risk Treatment Safeguard Impact to Obligations]])*tblRiskRegister15[[#This Row],[Risk Treatment
Safeguard Expectancy Score]],"")</f>
        <v/>
      </c>
      <c r="Y68" s="46" t="str">
        <f>IF(tblRiskRegister15[[#This Row],[Risk Score]]&gt;5,IF(tblRiskRegister15[[#This Row],[Risk Treatment Safeguard Risk Score]]&lt;6, IF(tblRiskRegister15[[#This Row],[Risk Treatment Safeguard Risk Score]]&lt;=tblRiskRegister15[[#This Row],[Risk Score]],"Yes","No"),"No"),"Yes")</f>
        <v>No</v>
      </c>
      <c r="Z68" s="26"/>
      <c r="AA68" s="26"/>
      <c r="AB68" s="27"/>
    </row>
    <row r="69" spans="2:28" ht="25.5" x14ac:dyDescent="0.2">
      <c r="B69" s="29">
        <v>9.1999999999999993</v>
      </c>
      <c r="C69" s="30" t="s">
        <v>125</v>
      </c>
      <c r="D69" s="235" t="s">
        <v>451</v>
      </c>
      <c r="E69" s="30" t="s">
        <v>149</v>
      </c>
      <c r="F69" s="25"/>
      <c r="G69" s="45">
        <f>IFERROR(VLOOKUP(tblRiskRegister15[[#This Row],[Asset Class]],tblVCDBIndex[],4,FALSE),"")</f>
        <v>1</v>
      </c>
      <c r="H69" s="45" t="str">
        <f>IFERROR(VLOOKUP(10*tblRiskRegister15[[#This Row],[Safeguard Maturity Score]]+tblRiskRegister15[[#This Row],[VCDB Index]],tblHITIndexWeightTable[],4,FALSE),"")</f>
        <v/>
      </c>
      <c r="I69" s="45">
        <f>VLOOKUP(tblRiskRegister15[[#This Row],[Asset Class]],tblImpactIndex17[],2,FALSE)</f>
        <v>0</v>
      </c>
      <c r="J69" s="45">
        <f>VLOOKUP(tblRiskRegister15[[#This Row],[Asset Class]],tblImpactIndex17[],3,FALSE)</f>
        <v>0</v>
      </c>
      <c r="K69" s="45">
        <f>VLOOKUP(tblRiskRegister15[[#This Row],[Asset Class]],tblImpactIndex17[],4,FALSE)</f>
        <v>0</v>
      </c>
      <c r="L69" s="45" t="str">
        <f>IFERROR(MAX(tblRiskRegister15[[#This Row],[Impact to Mission]:[Impact to Obligations]])*tblRiskRegister15[[#This Row],[Expectancy Score]],"")</f>
        <v/>
      </c>
      <c r="M69" s="45" t="str">
        <f>tblRiskRegister15[[#This Row],[Risk Score]]</f>
        <v/>
      </c>
      <c r="N69" s="203"/>
      <c r="O69" s="29">
        <v>9.1999999999999993</v>
      </c>
      <c r="P69" s="30" t="s">
        <v>125</v>
      </c>
      <c r="Q69" s="30" t="s">
        <v>242</v>
      </c>
      <c r="R69" s="24"/>
      <c r="S69" s="25"/>
      <c r="T69" s="46" t="str">
        <f>IFERROR(VLOOKUP(10*tblRiskRegister15[[#This Row],[Risk Treatment Safeguard Maturity Score]]+tblRiskRegister15[[#This Row],[VCDB Index]],tblHITIndexWeightTable[],4,FALSE),"")</f>
        <v/>
      </c>
      <c r="U69" s="46">
        <f>VLOOKUP(tblRiskRegister15[[#This Row],[Asset Class]],tblImpactIndex17[],2,FALSE)</f>
        <v>0</v>
      </c>
      <c r="V69" s="46">
        <f>VLOOKUP(tblRiskRegister15[[#This Row],[Asset Class]],tblImpactIndex17[],3,FALSE)</f>
        <v>0</v>
      </c>
      <c r="W69" s="46">
        <f>VLOOKUP(tblRiskRegister15[[#This Row],[Asset Class]],tblImpactIndex17[],4,FALSE)</f>
        <v>0</v>
      </c>
      <c r="X69" s="46" t="str">
        <f>IFERROR(MAX(tblRiskRegister15[[#This Row],[Risk Treatment Safeguard Impact to Mission]:[Risk Treatment Safeguard Impact to Obligations]])*tblRiskRegister15[[#This Row],[Risk Treatment
Safeguard Expectancy Score]],"")</f>
        <v/>
      </c>
      <c r="Y69" s="46" t="str">
        <f>IF(tblRiskRegister15[[#This Row],[Risk Score]]&gt;5,IF(tblRiskRegister15[[#This Row],[Risk Treatment Safeguard Risk Score]]&lt;6, IF(tblRiskRegister15[[#This Row],[Risk Treatment Safeguard Risk Score]]&lt;=tblRiskRegister15[[#This Row],[Risk Score]],"Yes","No"),"No"),"Yes")</f>
        <v>No</v>
      </c>
      <c r="Z69" s="26"/>
      <c r="AA69" s="26"/>
      <c r="AB69" s="27"/>
    </row>
    <row r="70" spans="2:28" ht="25.5" x14ac:dyDescent="0.2">
      <c r="B70" s="29">
        <v>10.1</v>
      </c>
      <c r="C70" s="30" t="s">
        <v>126</v>
      </c>
      <c r="D70" s="235" t="s">
        <v>451</v>
      </c>
      <c r="E70" s="30" t="s">
        <v>147</v>
      </c>
      <c r="F70" s="25"/>
      <c r="G70" s="45">
        <f>IFERROR(VLOOKUP(tblRiskRegister15[[#This Row],[Asset Class]],tblVCDBIndex[],4,FALSE),"")</f>
        <v>1</v>
      </c>
      <c r="H70" s="45" t="str">
        <f>IFERROR(VLOOKUP(10*tblRiskRegister15[[#This Row],[Safeguard Maturity Score]]+tblRiskRegister15[[#This Row],[VCDB Index]],tblHITIndexWeightTable[],4,FALSE),"")</f>
        <v/>
      </c>
      <c r="I70" s="45">
        <f>VLOOKUP(tblRiskRegister15[[#This Row],[Asset Class]],tblImpactIndex17[],2,FALSE)</f>
        <v>0</v>
      </c>
      <c r="J70" s="45">
        <f>VLOOKUP(tblRiskRegister15[[#This Row],[Asset Class]],tblImpactIndex17[],3,FALSE)</f>
        <v>0</v>
      </c>
      <c r="K70" s="45">
        <f>VLOOKUP(tblRiskRegister15[[#This Row],[Asset Class]],tblImpactIndex17[],4,FALSE)</f>
        <v>0</v>
      </c>
      <c r="L70" s="45" t="str">
        <f>IFERROR(MAX(tblRiskRegister15[[#This Row],[Impact to Mission]:[Impact to Obligations]])*tblRiskRegister15[[#This Row],[Expectancy Score]],"")</f>
        <v/>
      </c>
      <c r="M70" s="45" t="str">
        <f>tblRiskRegister15[[#This Row],[Risk Score]]</f>
        <v/>
      </c>
      <c r="N70" s="203"/>
      <c r="O70" s="29">
        <v>10.1</v>
      </c>
      <c r="P70" s="30" t="s">
        <v>126</v>
      </c>
      <c r="Q70" s="30" t="s">
        <v>243</v>
      </c>
      <c r="R70" s="24"/>
      <c r="S70" s="25"/>
      <c r="T70" s="46" t="str">
        <f>IFERROR(VLOOKUP(10*tblRiskRegister15[[#This Row],[Risk Treatment Safeguard Maturity Score]]+tblRiskRegister15[[#This Row],[VCDB Index]],tblHITIndexWeightTable[],4,FALSE),"")</f>
        <v/>
      </c>
      <c r="U70" s="46">
        <f>VLOOKUP(tblRiskRegister15[[#This Row],[Asset Class]],tblImpactIndex17[],2,FALSE)</f>
        <v>0</v>
      </c>
      <c r="V70" s="46">
        <f>VLOOKUP(tblRiskRegister15[[#This Row],[Asset Class]],tblImpactIndex17[],3,FALSE)</f>
        <v>0</v>
      </c>
      <c r="W70" s="46">
        <f>VLOOKUP(tblRiskRegister15[[#This Row],[Asset Class]],tblImpactIndex17[],4,FALSE)</f>
        <v>0</v>
      </c>
      <c r="X70" s="46" t="str">
        <f>IFERROR(MAX(tblRiskRegister15[[#This Row],[Risk Treatment Safeguard Impact to Mission]:[Risk Treatment Safeguard Impact to Obligations]])*tblRiskRegister15[[#This Row],[Risk Treatment
Safeguard Expectancy Score]],"")</f>
        <v/>
      </c>
      <c r="Y70" s="46" t="str">
        <f>IF(tblRiskRegister15[[#This Row],[Risk Score]]&gt;5,IF(tblRiskRegister15[[#This Row],[Risk Treatment Safeguard Risk Score]]&lt;6, IF(tblRiskRegister15[[#This Row],[Risk Treatment Safeguard Risk Score]]&lt;=tblRiskRegister15[[#This Row],[Risk Score]],"Yes","No"),"No"),"Yes")</f>
        <v>No</v>
      </c>
      <c r="Z70" s="26"/>
      <c r="AA70" s="26"/>
      <c r="AB70" s="27"/>
    </row>
    <row r="71" spans="2:28" ht="38.25" x14ac:dyDescent="0.2">
      <c r="B71" s="29">
        <v>10.199999999999999</v>
      </c>
      <c r="C71" s="30" t="s">
        <v>127</v>
      </c>
      <c r="D71" s="235" t="s">
        <v>451</v>
      </c>
      <c r="E71" s="30" t="s">
        <v>147</v>
      </c>
      <c r="F71" s="25"/>
      <c r="G71" s="45">
        <f>IFERROR(VLOOKUP(tblRiskRegister15[[#This Row],[Asset Class]],tblVCDBIndex[],4,FALSE),"")</f>
        <v>1</v>
      </c>
      <c r="H71" s="45" t="str">
        <f>IFERROR(VLOOKUP(10*tblRiskRegister15[[#This Row],[Safeguard Maturity Score]]+tblRiskRegister15[[#This Row],[VCDB Index]],tblHITIndexWeightTable[],4,FALSE),"")</f>
        <v/>
      </c>
      <c r="I71" s="45">
        <f>VLOOKUP(tblRiskRegister15[[#This Row],[Asset Class]],tblImpactIndex17[],2,FALSE)</f>
        <v>0</v>
      </c>
      <c r="J71" s="45">
        <f>VLOOKUP(tblRiskRegister15[[#This Row],[Asset Class]],tblImpactIndex17[],3,FALSE)</f>
        <v>0</v>
      </c>
      <c r="K71" s="45">
        <f>VLOOKUP(tblRiskRegister15[[#This Row],[Asset Class]],tblImpactIndex17[],4,FALSE)</f>
        <v>0</v>
      </c>
      <c r="L71" s="45" t="str">
        <f>IFERROR(MAX(tblRiskRegister15[[#This Row],[Impact to Mission]:[Impact to Obligations]])*tblRiskRegister15[[#This Row],[Expectancy Score]],"")</f>
        <v/>
      </c>
      <c r="M71" s="45" t="str">
        <f>tblRiskRegister15[[#This Row],[Risk Score]]</f>
        <v/>
      </c>
      <c r="N71" s="203"/>
      <c r="O71" s="29">
        <v>10.199999999999999</v>
      </c>
      <c r="P71" s="30" t="s">
        <v>127</v>
      </c>
      <c r="Q71" s="30" t="s">
        <v>244</v>
      </c>
      <c r="R71" s="24"/>
      <c r="S71" s="25"/>
      <c r="T71" s="46" t="str">
        <f>IFERROR(VLOOKUP(10*tblRiskRegister15[[#This Row],[Risk Treatment Safeguard Maturity Score]]+tblRiskRegister15[[#This Row],[VCDB Index]],tblHITIndexWeightTable[],4,FALSE),"")</f>
        <v/>
      </c>
      <c r="U71" s="46">
        <f>VLOOKUP(tblRiskRegister15[[#This Row],[Asset Class]],tblImpactIndex17[],2,FALSE)</f>
        <v>0</v>
      </c>
      <c r="V71" s="46">
        <f>VLOOKUP(tblRiskRegister15[[#This Row],[Asset Class]],tblImpactIndex17[],3,FALSE)</f>
        <v>0</v>
      </c>
      <c r="W71" s="46">
        <f>VLOOKUP(tblRiskRegister15[[#This Row],[Asset Class]],tblImpactIndex17[],4,FALSE)</f>
        <v>0</v>
      </c>
      <c r="X71" s="46" t="str">
        <f>IFERROR(MAX(tblRiskRegister15[[#This Row],[Risk Treatment Safeguard Impact to Mission]:[Risk Treatment Safeguard Impact to Obligations]])*tblRiskRegister15[[#This Row],[Risk Treatment
Safeguard Expectancy Score]],"")</f>
        <v/>
      </c>
      <c r="Y71" s="46" t="str">
        <f>IF(tblRiskRegister15[[#This Row],[Risk Score]]&gt;5,IF(tblRiskRegister15[[#This Row],[Risk Treatment Safeguard Risk Score]]&lt;6, IF(tblRiskRegister15[[#This Row],[Risk Treatment Safeguard Risk Score]]&lt;=tblRiskRegister15[[#This Row],[Risk Score]],"Yes","No"),"No"),"Yes")</f>
        <v>No</v>
      </c>
      <c r="Z71" s="26"/>
      <c r="AA71" s="26"/>
      <c r="AB71" s="27"/>
    </row>
    <row r="72" spans="2:28" ht="38.25" x14ac:dyDescent="0.2">
      <c r="B72" s="29">
        <v>10.3</v>
      </c>
      <c r="C72" s="30" t="s">
        <v>128</v>
      </c>
      <c r="D72" s="235" t="s">
        <v>451</v>
      </c>
      <c r="E72" s="30" t="s">
        <v>147</v>
      </c>
      <c r="F72" s="25"/>
      <c r="G72" s="45">
        <f>IFERROR(VLOOKUP(tblRiskRegister15[[#This Row],[Asset Class]],tblVCDBIndex[],4,FALSE),"")</f>
        <v>1</v>
      </c>
      <c r="H72" s="45" t="str">
        <f>IFERROR(VLOOKUP(10*tblRiskRegister15[[#This Row],[Safeguard Maturity Score]]+tblRiskRegister15[[#This Row],[VCDB Index]],tblHITIndexWeightTable[],4,FALSE),"")</f>
        <v/>
      </c>
      <c r="I72" s="45">
        <f>VLOOKUP(tblRiskRegister15[[#This Row],[Asset Class]],tblImpactIndex17[],2,FALSE)</f>
        <v>0</v>
      </c>
      <c r="J72" s="45">
        <f>VLOOKUP(tblRiskRegister15[[#This Row],[Asset Class]],tblImpactIndex17[],3,FALSE)</f>
        <v>0</v>
      </c>
      <c r="K72" s="45">
        <f>VLOOKUP(tblRiskRegister15[[#This Row],[Asset Class]],tblImpactIndex17[],4,FALSE)</f>
        <v>0</v>
      </c>
      <c r="L72" s="45" t="str">
        <f>IFERROR(MAX(tblRiskRegister15[[#This Row],[Impact to Mission]:[Impact to Obligations]])*tblRiskRegister15[[#This Row],[Expectancy Score]],"")</f>
        <v/>
      </c>
      <c r="M72" s="45" t="str">
        <f>tblRiskRegister15[[#This Row],[Risk Score]]</f>
        <v/>
      </c>
      <c r="N72" s="203"/>
      <c r="O72" s="29">
        <v>10.3</v>
      </c>
      <c r="P72" s="30" t="s">
        <v>128</v>
      </c>
      <c r="Q72" s="30" t="s">
        <v>245</v>
      </c>
      <c r="R72" s="24"/>
      <c r="S72" s="25"/>
      <c r="T72" s="46" t="str">
        <f>IFERROR(VLOOKUP(10*tblRiskRegister15[[#This Row],[Risk Treatment Safeguard Maturity Score]]+tblRiskRegister15[[#This Row],[VCDB Index]],tblHITIndexWeightTable[],4,FALSE),"")</f>
        <v/>
      </c>
      <c r="U72" s="46">
        <f>VLOOKUP(tblRiskRegister15[[#This Row],[Asset Class]],tblImpactIndex17[],2,FALSE)</f>
        <v>0</v>
      </c>
      <c r="V72" s="46">
        <f>VLOOKUP(tblRiskRegister15[[#This Row],[Asset Class]],tblImpactIndex17[],3,FALSE)</f>
        <v>0</v>
      </c>
      <c r="W72" s="46">
        <f>VLOOKUP(tblRiskRegister15[[#This Row],[Asset Class]],tblImpactIndex17[],4,FALSE)</f>
        <v>0</v>
      </c>
      <c r="X72" s="46" t="str">
        <f>IFERROR(MAX(tblRiskRegister15[[#This Row],[Risk Treatment Safeguard Impact to Mission]:[Risk Treatment Safeguard Impact to Obligations]])*tblRiskRegister15[[#This Row],[Risk Treatment
Safeguard Expectancy Score]],"")</f>
        <v/>
      </c>
      <c r="Y72" s="46" t="str">
        <f>IF(tblRiskRegister15[[#This Row],[Risk Score]]&gt;5,IF(tblRiskRegister15[[#This Row],[Risk Treatment Safeguard Risk Score]]&lt;6, IF(tblRiskRegister15[[#This Row],[Risk Treatment Safeguard Risk Score]]&lt;=tblRiskRegister15[[#This Row],[Risk Score]],"Yes","No"),"No"),"Yes")</f>
        <v>No</v>
      </c>
      <c r="Z72" s="26"/>
      <c r="AA72" s="26"/>
      <c r="AB72" s="27"/>
    </row>
    <row r="73" spans="2:28" ht="38.25" x14ac:dyDescent="0.2">
      <c r="B73" s="29">
        <v>11.1</v>
      </c>
      <c r="C73" s="30" t="s">
        <v>129</v>
      </c>
      <c r="D73" s="235" t="s">
        <v>453</v>
      </c>
      <c r="E73" s="30" t="s">
        <v>146</v>
      </c>
      <c r="F73" s="25"/>
      <c r="G73" s="45">
        <f>IFERROR(VLOOKUP(tblRiskRegister15[[#This Row],[Asset Class]],tblVCDBIndex[],4,FALSE),"")</f>
        <v>3</v>
      </c>
      <c r="H73" s="45" t="str">
        <f>IFERROR(VLOOKUP(10*tblRiskRegister15[[#This Row],[Safeguard Maturity Score]]+tblRiskRegister15[[#This Row],[VCDB Index]],tblHITIndexWeightTable[],4,FALSE),"")</f>
        <v/>
      </c>
      <c r="I73" s="45">
        <f>VLOOKUP(tblRiskRegister15[[#This Row],[Asset Class]],tblImpactIndex17[],2,FALSE)</f>
        <v>0</v>
      </c>
      <c r="J73" s="45">
        <f>VLOOKUP(tblRiskRegister15[[#This Row],[Asset Class]],tblImpactIndex17[],3,FALSE)</f>
        <v>0</v>
      </c>
      <c r="K73" s="45">
        <f>VLOOKUP(tblRiskRegister15[[#This Row],[Asset Class]],tblImpactIndex17[],4,FALSE)</f>
        <v>0</v>
      </c>
      <c r="L73" s="45" t="str">
        <f>IFERROR(MAX(tblRiskRegister15[[#This Row],[Impact to Mission]:[Impact to Obligations]])*tblRiskRegister15[[#This Row],[Expectancy Score]],"")</f>
        <v/>
      </c>
      <c r="M73" s="45" t="str">
        <f>tblRiskRegister15[[#This Row],[Risk Score]]</f>
        <v/>
      </c>
      <c r="N73" s="203"/>
      <c r="O73" s="29">
        <v>11.1</v>
      </c>
      <c r="P73" s="30" t="s">
        <v>129</v>
      </c>
      <c r="Q73" s="30" t="s">
        <v>246</v>
      </c>
      <c r="R73" s="24"/>
      <c r="S73" s="25"/>
      <c r="T73" s="46" t="str">
        <f>IFERROR(VLOOKUP(10*tblRiskRegister15[[#This Row],[Risk Treatment Safeguard Maturity Score]]+tblRiskRegister15[[#This Row],[VCDB Index]],tblHITIndexWeightTable[],4,FALSE),"")</f>
        <v/>
      </c>
      <c r="U73" s="46">
        <f>VLOOKUP(tblRiskRegister15[[#This Row],[Asset Class]],tblImpactIndex17[],2,FALSE)</f>
        <v>0</v>
      </c>
      <c r="V73" s="46">
        <f>VLOOKUP(tblRiskRegister15[[#This Row],[Asset Class]],tblImpactIndex17[],3,FALSE)</f>
        <v>0</v>
      </c>
      <c r="W73" s="46">
        <f>VLOOKUP(tblRiskRegister15[[#This Row],[Asset Class]],tblImpactIndex17[],4,FALSE)</f>
        <v>0</v>
      </c>
      <c r="X73" s="46" t="str">
        <f>IFERROR(MAX(tblRiskRegister15[[#This Row],[Risk Treatment Safeguard Impact to Mission]:[Risk Treatment Safeguard Impact to Obligations]])*tblRiskRegister15[[#This Row],[Risk Treatment
Safeguard Expectancy Score]],"")</f>
        <v/>
      </c>
      <c r="Y73" s="46" t="str">
        <f>IF(tblRiskRegister15[[#This Row],[Risk Score]]&gt;5,IF(tblRiskRegister15[[#This Row],[Risk Treatment Safeguard Risk Score]]&lt;6, IF(tblRiskRegister15[[#This Row],[Risk Treatment Safeguard Risk Score]]&lt;=tblRiskRegister15[[#This Row],[Risk Score]],"Yes","No"),"No"),"Yes")</f>
        <v>No</v>
      </c>
      <c r="Z73" s="26"/>
      <c r="AA73" s="26"/>
      <c r="AB73" s="27"/>
    </row>
    <row r="74" spans="2:28" ht="25.5" x14ac:dyDescent="0.2">
      <c r="B74" s="29">
        <v>11.2</v>
      </c>
      <c r="C74" s="30" t="s">
        <v>130</v>
      </c>
      <c r="D74" s="235" t="s">
        <v>453</v>
      </c>
      <c r="E74" s="30" t="s">
        <v>146</v>
      </c>
      <c r="F74" s="25"/>
      <c r="G74" s="45">
        <f>IFERROR(VLOOKUP(tblRiskRegister15[[#This Row],[Asset Class]],tblVCDBIndex[],4,FALSE),"")</f>
        <v>3</v>
      </c>
      <c r="H74" s="45" t="str">
        <f>IFERROR(VLOOKUP(10*tblRiskRegister15[[#This Row],[Safeguard Maturity Score]]+tblRiskRegister15[[#This Row],[VCDB Index]],tblHITIndexWeightTable[],4,FALSE),"")</f>
        <v/>
      </c>
      <c r="I74" s="45">
        <f>VLOOKUP(tblRiskRegister15[[#This Row],[Asset Class]],tblImpactIndex17[],2,FALSE)</f>
        <v>0</v>
      </c>
      <c r="J74" s="45">
        <f>VLOOKUP(tblRiskRegister15[[#This Row],[Asset Class]],tblImpactIndex17[],3,FALSE)</f>
        <v>0</v>
      </c>
      <c r="K74" s="45">
        <f>VLOOKUP(tblRiskRegister15[[#This Row],[Asset Class]],tblImpactIndex17[],4,FALSE)</f>
        <v>0</v>
      </c>
      <c r="L74" s="45" t="str">
        <f>IFERROR(MAX(tblRiskRegister15[[#This Row],[Impact to Mission]:[Impact to Obligations]])*tblRiskRegister15[[#This Row],[Expectancy Score]],"")</f>
        <v/>
      </c>
      <c r="M74" s="45" t="str">
        <f>tblRiskRegister15[[#This Row],[Risk Score]]</f>
        <v/>
      </c>
      <c r="N74" s="203"/>
      <c r="O74" s="29">
        <v>11.2</v>
      </c>
      <c r="P74" s="30" t="s">
        <v>130</v>
      </c>
      <c r="Q74" s="30" t="s">
        <v>247</v>
      </c>
      <c r="R74" s="24"/>
      <c r="S74" s="25"/>
      <c r="T74" s="46" t="str">
        <f>IFERROR(VLOOKUP(10*tblRiskRegister15[[#This Row],[Risk Treatment Safeguard Maturity Score]]+tblRiskRegister15[[#This Row],[VCDB Index]],tblHITIndexWeightTable[],4,FALSE),"")</f>
        <v/>
      </c>
      <c r="U74" s="46">
        <f>VLOOKUP(tblRiskRegister15[[#This Row],[Asset Class]],tblImpactIndex17[],2,FALSE)</f>
        <v>0</v>
      </c>
      <c r="V74" s="46">
        <f>VLOOKUP(tblRiskRegister15[[#This Row],[Asset Class]],tblImpactIndex17[],3,FALSE)</f>
        <v>0</v>
      </c>
      <c r="W74" s="46">
        <f>VLOOKUP(tblRiskRegister15[[#This Row],[Asset Class]],tblImpactIndex17[],4,FALSE)</f>
        <v>0</v>
      </c>
      <c r="X74" s="46" t="str">
        <f>IFERROR(MAX(tblRiskRegister15[[#This Row],[Risk Treatment Safeguard Impact to Mission]:[Risk Treatment Safeguard Impact to Obligations]])*tblRiskRegister15[[#This Row],[Risk Treatment
Safeguard Expectancy Score]],"")</f>
        <v/>
      </c>
      <c r="Y74" s="46" t="str">
        <f>IF(tblRiskRegister15[[#This Row],[Risk Score]]&gt;5,IF(tblRiskRegister15[[#This Row],[Risk Treatment Safeguard Risk Score]]&lt;6, IF(tblRiskRegister15[[#This Row],[Risk Treatment Safeguard Risk Score]]&lt;=tblRiskRegister15[[#This Row],[Risk Score]],"Yes","No"),"No"),"Yes")</f>
        <v>No</v>
      </c>
      <c r="Z74" s="26"/>
      <c r="AA74" s="26"/>
      <c r="AB74" s="27"/>
    </row>
    <row r="75" spans="2:28" ht="25.5" x14ac:dyDescent="0.2">
      <c r="B75" s="29">
        <v>11.3</v>
      </c>
      <c r="C75" s="30" t="s">
        <v>131</v>
      </c>
      <c r="D75" s="235" t="s">
        <v>451</v>
      </c>
      <c r="E75" s="30" t="s">
        <v>146</v>
      </c>
      <c r="F75" s="25"/>
      <c r="G75" s="45">
        <f>IFERROR(VLOOKUP(tblRiskRegister15[[#This Row],[Asset Class]],tblVCDBIndex[],4,FALSE),"")</f>
        <v>3</v>
      </c>
      <c r="H75" s="45" t="str">
        <f>IFERROR(VLOOKUP(10*tblRiskRegister15[[#This Row],[Safeguard Maturity Score]]+tblRiskRegister15[[#This Row],[VCDB Index]],tblHITIndexWeightTable[],4,FALSE),"")</f>
        <v/>
      </c>
      <c r="I75" s="45">
        <f>VLOOKUP(tblRiskRegister15[[#This Row],[Asset Class]],tblImpactIndex17[],2,FALSE)</f>
        <v>0</v>
      </c>
      <c r="J75" s="45">
        <f>VLOOKUP(tblRiskRegister15[[#This Row],[Asset Class]],tblImpactIndex17[],3,FALSE)</f>
        <v>0</v>
      </c>
      <c r="K75" s="45">
        <f>VLOOKUP(tblRiskRegister15[[#This Row],[Asset Class]],tblImpactIndex17[],4,FALSE)</f>
        <v>0</v>
      </c>
      <c r="L75" s="45" t="str">
        <f>IFERROR(MAX(tblRiskRegister15[[#This Row],[Impact to Mission]:[Impact to Obligations]])*tblRiskRegister15[[#This Row],[Expectancy Score]],"")</f>
        <v/>
      </c>
      <c r="M75" s="45" t="str">
        <f>tblRiskRegister15[[#This Row],[Risk Score]]</f>
        <v/>
      </c>
      <c r="N75" s="203"/>
      <c r="O75" s="29">
        <v>11.3</v>
      </c>
      <c r="P75" s="30" t="s">
        <v>131</v>
      </c>
      <c r="Q75" s="30" t="s">
        <v>248</v>
      </c>
      <c r="R75" s="24"/>
      <c r="S75" s="25"/>
      <c r="T75" s="46" t="str">
        <f>IFERROR(VLOOKUP(10*tblRiskRegister15[[#This Row],[Risk Treatment Safeguard Maturity Score]]+tblRiskRegister15[[#This Row],[VCDB Index]],tblHITIndexWeightTable[],4,FALSE),"")</f>
        <v/>
      </c>
      <c r="U75" s="46">
        <f>VLOOKUP(tblRiskRegister15[[#This Row],[Asset Class]],tblImpactIndex17[],2,FALSE)</f>
        <v>0</v>
      </c>
      <c r="V75" s="46">
        <f>VLOOKUP(tblRiskRegister15[[#This Row],[Asset Class]],tblImpactIndex17[],3,FALSE)</f>
        <v>0</v>
      </c>
      <c r="W75" s="46">
        <f>VLOOKUP(tblRiskRegister15[[#This Row],[Asset Class]],tblImpactIndex17[],4,FALSE)</f>
        <v>0</v>
      </c>
      <c r="X75" s="46" t="str">
        <f>IFERROR(MAX(tblRiskRegister15[[#This Row],[Risk Treatment Safeguard Impact to Mission]:[Risk Treatment Safeguard Impact to Obligations]])*tblRiskRegister15[[#This Row],[Risk Treatment
Safeguard Expectancy Score]],"")</f>
        <v/>
      </c>
      <c r="Y75" s="46" t="str">
        <f>IF(tblRiskRegister15[[#This Row],[Risk Score]]&gt;5,IF(tblRiskRegister15[[#This Row],[Risk Treatment Safeguard Risk Score]]&lt;6, IF(tblRiskRegister15[[#This Row],[Risk Treatment Safeguard Risk Score]]&lt;=tblRiskRegister15[[#This Row],[Risk Score]],"Yes","No"),"No"),"Yes")</f>
        <v>No</v>
      </c>
      <c r="Z75" s="26"/>
      <c r="AA75" s="26"/>
      <c r="AB75" s="27"/>
    </row>
    <row r="76" spans="2:28" ht="38.25" x14ac:dyDescent="0.2">
      <c r="B76" s="29">
        <v>11.4</v>
      </c>
      <c r="C76" s="30" t="s">
        <v>132</v>
      </c>
      <c r="D76" s="235" t="s">
        <v>453</v>
      </c>
      <c r="E76" s="30" t="s">
        <v>146</v>
      </c>
      <c r="F76" s="25"/>
      <c r="G76" s="45">
        <f>IFERROR(VLOOKUP(tblRiskRegister15[[#This Row],[Asset Class]],tblVCDBIndex[],4,FALSE),"")</f>
        <v>3</v>
      </c>
      <c r="H76" s="45" t="str">
        <f>IFERROR(VLOOKUP(10*tblRiskRegister15[[#This Row],[Safeguard Maturity Score]]+tblRiskRegister15[[#This Row],[VCDB Index]],tblHITIndexWeightTable[],4,FALSE),"")</f>
        <v/>
      </c>
      <c r="I76" s="45">
        <f>VLOOKUP(tblRiskRegister15[[#This Row],[Asset Class]],tblImpactIndex17[],2,FALSE)</f>
        <v>0</v>
      </c>
      <c r="J76" s="45">
        <f>VLOOKUP(tblRiskRegister15[[#This Row],[Asset Class]],tblImpactIndex17[],3,FALSE)</f>
        <v>0</v>
      </c>
      <c r="K76" s="45">
        <f>VLOOKUP(tblRiskRegister15[[#This Row],[Asset Class]],tblImpactIndex17[],4,FALSE)</f>
        <v>0</v>
      </c>
      <c r="L76" s="45" t="str">
        <f>IFERROR(MAX(tblRiskRegister15[[#This Row],[Impact to Mission]:[Impact to Obligations]])*tblRiskRegister15[[#This Row],[Expectancy Score]],"")</f>
        <v/>
      </c>
      <c r="M76" s="45" t="str">
        <f>tblRiskRegister15[[#This Row],[Risk Score]]</f>
        <v/>
      </c>
      <c r="N76" s="203"/>
      <c r="O76" s="29">
        <v>11.4</v>
      </c>
      <c r="P76" s="30" t="s">
        <v>132</v>
      </c>
      <c r="Q76" s="30" t="s">
        <v>249</v>
      </c>
      <c r="R76" s="24"/>
      <c r="S76" s="25"/>
      <c r="T76" s="46" t="str">
        <f>IFERROR(VLOOKUP(10*tblRiskRegister15[[#This Row],[Risk Treatment Safeguard Maturity Score]]+tblRiskRegister15[[#This Row],[VCDB Index]],tblHITIndexWeightTable[],4,FALSE),"")</f>
        <v/>
      </c>
      <c r="U76" s="46">
        <f>VLOOKUP(tblRiskRegister15[[#This Row],[Asset Class]],tblImpactIndex17[],2,FALSE)</f>
        <v>0</v>
      </c>
      <c r="V76" s="46">
        <f>VLOOKUP(tblRiskRegister15[[#This Row],[Asset Class]],tblImpactIndex17[],3,FALSE)</f>
        <v>0</v>
      </c>
      <c r="W76" s="46">
        <f>VLOOKUP(tblRiskRegister15[[#This Row],[Asset Class]],tblImpactIndex17[],4,FALSE)</f>
        <v>0</v>
      </c>
      <c r="X76" s="46" t="str">
        <f>IFERROR(MAX(tblRiskRegister15[[#This Row],[Risk Treatment Safeguard Impact to Mission]:[Risk Treatment Safeguard Impact to Obligations]])*tblRiskRegister15[[#This Row],[Risk Treatment
Safeguard Expectancy Score]],"")</f>
        <v/>
      </c>
      <c r="Y76" s="46" t="str">
        <f>IF(tblRiskRegister15[[#This Row],[Risk Score]]&gt;5,IF(tblRiskRegister15[[#This Row],[Risk Treatment Safeguard Risk Score]]&lt;6, IF(tblRiskRegister15[[#This Row],[Risk Treatment Safeguard Risk Score]]&lt;=tblRiskRegister15[[#This Row],[Risk Score]],"Yes","No"),"No"),"Yes")</f>
        <v>No</v>
      </c>
      <c r="Z76" s="26"/>
      <c r="AA76" s="26"/>
      <c r="AB76" s="27"/>
    </row>
    <row r="77" spans="2:28" ht="38.25" x14ac:dyDescent="0.2">
      <c r="B77" s="29">
        <v>12.1</v>
      </c>
      <c r="C77" s="30" t="s">
        <v>133</v>
      </c>
      <c r="D77" s="235" t="s">
        <v>451</v>
      </c>
      <c r="E77" s="30" t="s">
        <v>149</v>
      </c>
      <c r="F77" s="25"/>
      <c r="G77" s="48">
        <f>IFERROR(VLOOKUP(tblRiskRegister15[[#This Row],[Asset Class]],tblVCDBIndex[],4,FALSE),"")</f>
        <v>1</v>
      </c>
      <c r="H77" s="48" t="str">
        <f>IFERROR(VLOOKUP(10*tblRiskRegister15[[#This Row],[Safeguard Maturity Score]]+tblRiskRegister15[[#This Row],[VCDB Index]],tblHITIndexWeightTable[],4,FALSE),"")</f>
        <v/>
      </c>
      <c r="I77" s="48">
        <f>VLOOKUP(tblRiskRegister15[[#This Row],[Asset Class]],tblImpactIndex17[],2,FALSE)</f>
        <v>0</v>
      </c>
      <c r="J77" s="48">
        <f>VLOOKUP(tblRiskRegister15[[#This Row],[Asset Class]],tblImpactIndex17[],3,FALSE)</f>
        <v>0</v>
      </c>
      <c r="K77" s="48">
        <f>VLOOKUP(tblRiskRegister15[[#This Row],[Asset Class]],tblImpactIndex17[],4,FALSE)</f>
        <v>0</v>
      </c>
      <c r="L77" s="48" t="str">
        <f>IFERROR(MAX(tblRiskRegister15[[#This Row],[Impact to Mission]:[Impact to Obligations]])*tblRiskRegister15[[#This Row],[Expectancy Score]],"")</f>
        <v/>
      </c>
      <c r="M77" s="48" t="str">
        <f>tblRiskRegister15[[#This Row],[Risk Score]]</f>
        <v/>
      </c>
      <c r="N77" s="203"/>
      <c r="O77" s="29">
        <v>12.1</v>
      </c>
      <c r="P77" s="30" t="s">
        <v>133</v>
      </c>
      <c r="Q77" s="30" t="s">
        <v>250</v>
      </c>
      <c r="R77" s="49"/>
      <c r="S77" s="25"/>
      <c r="T77" s="46" t="str">
        <f>IFERROR(VLOOKUP(10*tblRiskRegister15[[#This Row],[Risk Treatment Safeguard Maturity Score]]+tblRiskRegister15[[#This Row],[VCDB Index]],tblHITIndexWeightTable[],4,FALSE),"")</f>
        <v/>
      </c>
      <c r="U77" s="46">
        <f>VLOOKUP(tblRiskRegister15[[#This Row],[Asset Class]],tblImpactIndex17[],2,FALSE)</f>
        <v>0</v>
      </c>
      <c r="V77" s="46">
        <f>VLOOKUP(tblRiskRegister15[[#This Row],[Asset Class]],tblImpactIndex17[],3,FALSE)</f>
        <v>0</v>
      </c>
      <c r="W77" s="46">
        <f>VLOOKUP(tblRiskRegister15[[#This Row],[Asset Class]],tblImpactIndex17[],4,FALSE)</f>
        <v>0</v>
      </c>
      <c r="X77" s="46" t="str">
        <f>IFERROR(MAX(tblRiskRegister15[[#This Row],[Risk Treatment Safeguard Impact to Mission]:[Risk Treatment Safeguard Impact to Obligations]])*tblRiskRegister15[[#This Row],[Risk Treatment
Safeguard Expectancy Score]],"")</f>
        <v/>
      </c>
      <c r="Y77" s="46" t="str">
        <f>IF(tblRiskRegister15[[#This Row],[Risk Score]]&gt;5,IF(tblRiskRegister15[[#This Row],[Risk Treatment Safeguard Risk Score]]&lt;6, IF(tblRiskRegister15[[#This Row],[Risk Treatment Safeguard Risk Score]]&lt;=tblRiskRegister15[[#This Row],[Risk Score]],"Yes","No"),"No"),"Yes")</f>
        <v>No</v>
      </c>
      <c r="Z77" s="26"/>
      <c r="AA77" s="26"/>
      <c r="AB77" s="27"/>
    </row>
    <row r="78" spans="2:28" ht="51" x14ac:dyDescent="0.2">
      <c r="B78" s="29">
        <v>14.1</v>
      </c>
      <c r="C78" s="30" t="s">
        <v>134</v>
      </c>
      <c r="D78" s="235" t="s">
        <v>451</v>
      </c>
      <c r="E78" s="30" t="s">
        <v>151</v>
      </c>
      <c r="F78" s="25"/>
      <c r="G78" s="48">
        <f>IFERROR(VLOOKUP(tblRiskRegister15[[#This Row],[Asset Class]],tblVCDBIndex[],4,FALSE),"")</f>
        <v>3</v>
      </c>
      <c r="H78" s="48" t="str">
        <f>IFERROR(VLOOKUP(10*tblRiskRegister15[[#This Row],[Safeguard Maturity Score]]+tblRiskRegister15[[#This Row],[VCDB Index]],tblHITIndexWeightTable[],4,FALSE),"")</f>
        <v/>
      </c>
      <c r="I78" s="48">
        <f>VLOOKUP(tblRiskRegister15[[#This Row],[Asset Class]],tblImpactIndex17[],2,FALSE)</f>
        <v>0</v>
      </c>
      <c r="J78" s="48">
        <f>VLOOKUP(tblRiskRegister15[[#This Row],[Asset Class]],tblImpactIndex17[],3,FALSE)</f>
        <v>0</v>
      </c>
      <c r="K78" s="48">
        <f>VLOOKUP(tblRiskRegister15[[#This Row],[Asset Class]],tblImpactIndex17[],4,FALSE)</f>
        <v>0</v>
      </c>
      <c r="L78" s="48" t="str">
        <f>IFERROR(MAX(tblRiskRegister15[[#This Row],[Impact to Mission]:[Impact to Obligations]])*tblRiskRegister15[[#This Row],[Expectancy Score]],"")</f>
        <v/>
      </c>
      <c r="M78" s="48" t="str">
        <f>tblRiskRegister15[[#This Row],[Risk Score]]</f>
        <v/>
      </c>
      <c r="N78" s="203"/>
      <c r="O78" s="29">
        <v>14.1</v>
      </c>
      <c r="P78" s="30" t="s">
        <v>134</v>
      </c>
      <c r="Q78" s="30" t="s">
        <v>251</v>
      </c>
      <c r="R78" s="49"/>
      <c r="S78" s="25"/>
      <c r="T78" s="46" t="str">
        <f>IFERROR(VLOOKUP(10*tblRiskRegister15[[#This Row],[Risk Treatment Safeguard Maturity Score]]+tblRiskRegister15[[#This Row],[VCDB Index]],tblHITIndexWeightTable[],4,FALSE),"")</f>
        <v/>
      </c>
      <c r="U78" s="46">
        <f>VLOOKUP(tblRiskRegister15[[#This Row],[Asset Class]],tblImpactIndex17[],2,FALSE)</f>
        <v>0</v>
      </c>
      <c r="V78" s="46">
        <f>VLOOKUP(tblRiskRegister15[[#This Row],[Asset Class]],tblImpactIndex17[],3,FALSE)</f>
        <v>0</v>
      </c>
      <c r="W78" s="46">
        <f>VLOOKUP(tblRiskRegister15[[#This Row],[Asset Class]],tblImpactIndex17[],4,FALSE)</f>
        <v>0</v>
      </c>
      <c r="X78" s="46" t="str">
        <f>IFERROR(MAX(tblRiskRegister15[[#This Row],[Risk Treatment Safeguard Impact to Mission]:[Risk Treatment Safeguard Impact to Obligations]])*tblRiskRegister15[[#This Row],[Risk Treatment
Safeguard Expectancy Score]],"")</f>
        <v/>
      </c>
      <c r="Y78" s="46" t="str">
        <f>IF(tblRiskRegister15[[#This Row],[Risk Score]]&gt;5,IF(tblRiskRegister15[[#This Row],[Risk Treatment Safeguard Risk Score]]&lt;6, IF(tblRiskRegister15[[#This Row],[Risk Treatment Safeguard Risk Score]]&lt;=tblRiskRegister15[[#This Row],[Risk Score]],"Yes","No"),"No"),"Yes")</f>
        <v>No</v>
      </c>
      <c r="Z78" s="26"/>
      <c r="AA78" s="26"/>
      <c r="AB78" s="27"/>
    </row>
    <row r="79" spans="2:28" ht="51" x14ac:dyDescent="0.2">
      <c r="B79" s="29">
        <v>14.2</v>
      </c>
      <c r="C79" s="30" t="s">
        <v>135</v>
      </c>
      <c r="D79" s="235" t="s">
        <v>451</v>
      </c>
      <c r="E79" s="30" t="s">
        <v>151</v>
      </c>
      <c r="F79" s="25"/>
      <c r="G79" s="48">
        <f>IFERROR(VLOOKUP(tblRiskRegister15[[#This Row],[Asset Class]],tblVCDBIndex[],4,FALSE),"")</f>
        <v>3</v>
      </c>
      <c r="H79" s="48" t="str">
        <f>IFERROR(VLOOKUP(10*tblRiskRegister15[[#This Row],[Safeguard Maturity Score]]+tblRiskRegister15[[#This Row],[VCDB Index]],tblHITIndexWeightTable[],4,FALSE),"")</f>
        <v/>
      </c>
      <c r="I79" s="48">
        <f>VLOOKUP(tblRiskRegister15[[#This Row],[Asset Class]],tblImpactIndex17[],2,FALSE)</f>
        <v>0</v>
      </c>
      <c r="J79" s="48">
        <f>VLOOKUP(tblRiskRegister15[[#This Row],[Asset Class]],tblImpactIndex17[],3,FALSE)</f>
        <v>0</v>
      </c>
      <c r="K79" s="48">
        <f>VLOOKUP(tblRiskRegister15[[#This Row],[Asset Class]],tblImpactIndex17[],4,FALSE)</f>
        <v>0</v>
      </c>
      <c r="L79" s="48" t="str">
        <f>IFERROR(MAX(tblRiskRegister15[[#This Row],[Impact to Mission]:[Impact to Obligations]])*tblRiskRegister15[[#This Row],[Expectancy Score]],"")</f>
        <v/>
      </c>
      <c r="M79" s="48" t="str">
        <f>tblRiskRegister15[[#This Row],[Risk Score]]</f>
        <v/>
      </c>
      <c r="N79" s="203"/>
      <c r="O79" s="29">
        <v>14.2</v>
      </c>
      <c r="P79" s="30" t="s">
        <v>135</v>
      </c>
      <c r="Q79" s="30" t="s">
        <v>252</v>
      </c>
      <c r="R79" s="49"/>
      <c r="S79" s="25"/>
      <c r="T79" s="46" t="str">
        <f>IFERROR(VLOOKUP(10*tblRiskRegister15[[#This Row],[Risk Treatment Safeguard Maturity Score]]+tblRiskRegister15[[#This Row],[VCDB Index]],tblHITIndexWeightTable[],4,FALSE),"")</f>
        <v/>
      </c>
      <c r="U79" s="46">
        <f>VLOOKUP(tblRiskRegister15[[#This Row],[Asset Class]],tblImpactIndex17[],2,FALSE)</f>
        <v>0</v>
      </c>
      <c r="V79" s="46">
        <f>VLOOKUP(tblRiskRegister15[[#This Row],[Asset Class]],tblImpactIndex17[],3,FALSE)</f>
        <v>0</v>
      </c>
      <c r="W79" s="46">
        <f>VLOOKUP(tblRiskRegister15[[#This Row],[Asset Class]],tblImpactIndex17[],4,FALSE)</f>
        <v>0</v>
      </c>
      <c r="X79" s="46" t="str">
        <f>IFERROR(MAX(tblRiskRegister15[[#This Row],[Risk Treatment Safeguard Impact to Mission]:[Risk Treatment Safeguard Impact to Obligations]])*tblRiskRegister15[[#This Row],[Risk Treatment
Safeguard Expectancy Score]],"")</f>
        <v/>
      </c>
      <c r="Y79" s="46" t="str">
        <f>IF(tblRiskRegister15[[#This Row],[Risk Score]]&gt;5,IF(tblRiskRegister15[[#This Row],[Risk Treatment Safeguard Risk Score]]&lt;6, IF(tblRiskRegister15[[#This Row],[Risk Treatment Safeguard Risk Score]]&lt;=tblRiskRegister15[[#This Row],[Risk Score]],"Yes","No"),"No"),"Yes")</f>
        <v>No</v>
      </c>
      <c r="Z79" s="26"/>
      <c r="AA79" s="26"/>
      <c r="AB79" s="27"/>
    </row>
    <row r="80" spans="2:28" ht="51" x14ac:dyDescent="0.2">
      <c r="B80" s="29">
        <v>14.3</v>
      </c>
      <c r="C80" s="30" t="s">
        <v>136</v>
      </c>
      <c r="D80" s="235" t="s">
        <v>451</v>
      </c>
      <c r="E80" s="30" t="s">
        <v>151</v>
      </c>
      <c r="F80" s="25"/>
      <c r="G80" s="48">
        <f>IFERROR(VLOOKUP(tblRiskRegister15[[#This Row],[Asset Class]],tblVCDBIndex[],4,FALSE),"")</f>
        <v>3</v>
      </c>
      <c r="H80" s="48" t="str">
        <f>IFERROR(VLOOKUP(10*tblRiskRegister15[[#This Row],[Safeguard Maturity Score]]+tblRiskRegister15[[#This Row],[VCDB Index]],tblHITIndexWeightTable[],4,FALSE),"")</f>
        <v/>
      </c>
      <c r="I80" s="48">
        <f>VLOOKUP(tblRiskRegister15[[#This Row],[Asset Class]],tblImpactIndex17[],2,FALSE)</f>
        <v>0</v>
      </c>
      <c r="J80" s="48">
        <f>VLOOKUP(tblRiskRegister15[[#This Row],[Asset Class]],tblImpactIndex17[],3,FALSE)</f>
        <v>0</v>
      </c>
      <c r="K80" s="48">
        <f>VLOOKUP(tblRiskRegister15[[#This Row],[Asset Class]],tblImpactIndex17[],4,FALSE)</f>
        <v>0</v>
      </c>
      <c r="L80" s="48" t="str">
        <f>IFERROR(MAX(tblRiskRegister15[[#This Row],[Impact to Mission]:[Impact to Obligations]])*tblRiskRegister15[[#This Row],[Expectancy Score]],"")</f>
        <v/>
      </c>
      <c r="M80" s="48" t="str">
        <f>tblRiskRegister15[[#This Row],[Risk Score]]</f>
        <v/>
      </c>
      <c r="N80" s="203"/>
      <c r="O80" s="29">
        <v>14.3</v>
      </c>
      <c r="P80" s="30" t="s">
        <v>136</v>
      </c>
      <c r="Q80" s="30" t="s">
        <v>253</v>
      </c>
      <c r="R80" s="49"/>
      <c r="S80" s="25"/>
      <c r="T80" s="46" t="str">
        <f>IFERROR(VLOOKUP(10*tblRiskRegister15[[#This Row],[Risk Treatment Safeguard Maturity Score]]+tblRiskRegister15[[#This Row],[VCDB Index]],tblHITIndexWeightTable[],4,FALSE),"")</f>
        <v/>
      </c>
      <c r="U80" s="46">
        <f>VLOOKUP(tblRiskRegister15[[#This Row],[Asset Class]],tblImpactIndex17[],2,FALSE)</f>
        <v>0</v>
      </c>
      <c r="V80" s="46">
        <f>VLOOKUP(tblRiskRegister15[[#This Row],[Asset Class]],tblImpactIndex17[],3,FALSE)</f>
        <v>0</v>
      </c>
      <c r="W80" s="46">
        <f>VLOOKUP(tblRiskRegister15[[#This Row],[Asset Class]],tblImpactIndex17[],4,FALSE)</f>
        <v>0</v>
      </c>
      <c r="X80" s="46" t="str">
        <f>IFERROR(MAX(tblRiskRegister15[[#This Row],[Risk Treatment Safeguard Impact to Mission]:[Risk Treatment Safeguard Impact to Obligations]])*tblRiskRegister15[[#This Row],[Risk Treatment
Safeguard Expectancy Score]],"")</f>
        <v/>
      </c>
      <c r="Y80" s="46" t="str">
        <f>IF(tblRiskRegister15[[#This Row],[Risk Score]]&gt;5,IF(tblRiskRegister15[[#This Row],[Risk Treatment Safeguard Risk Score]]&lt;6, IF(tblRiskRegister15[[#This Row],[Risk Treatment Safeguard Risk Score]]&lt;=tblRiskRegister15[[#This Row],[Risk Score]],"Yes","No"),"No"),"Yes")</f>
        <v>No</v>
      </c>
      <c r="Z80" s="26"/>
      <c r="AA80" s="26"/>
      <c r="AB80" s="27"/>
    </row>
    <row r="81" spans="2:28" ht="51" x14ac:dyDescent="0.2">
      <c r="B81" s="29">
        <v>14.4</v>
      </c>
      <c r="C81" s="30" t="s">
        <v>137</v>
      </c>
      <c r="D81" s="235" t="s">
        <v>451</v>
      </c>
      <c r="E81" s="30" t="s">
        <v>151</v>
      </c>
      <c r="F81" s="25"/>
      <c r="G81" s="48">
        <f>IFERROR(VLOOKUP(tblRiskRegister15[[#This Row],[Asset Class]],tblVCDBIndex[],4,FALSE),"")</f>
        <v>3</v>
      </c>
      <c r="H81" s="48" t="str">
        <f>IFERROR(VLOOKUP(10*tblRiskRegister15[[#This Row],[Safeguard Maturity Score]]+tblRiskRegister15[[#This Row],[VCDB Index]],tblHITIndexWeightTable[],4,FALSE),"")</f>
        <v/>
      </c>
      <c r="I81" s="48">
        <f>VLOOKUP(tblRiskRegister15[[#This Row],[Asset Class]],tblImpactIndex17[],2,FALSE)</f>
        <v>0</v>
      </c>
      <c r="J81" s="48">
        <f>VLOOKUP(tblRiskRegister15[[#This Row],[Asset Class]],tblImpactIndex17[],3,FALSE)</f>
        <v>0</v>
      </c>
      <c r="K81" s="48">
        <f>VLOOKUP(tblRiskRegister15[[#This Row],[Asset Class]],tblImpactIndex17[],4,FALSE)</f>
        <v>0</v>
      </c>
      <c r="L81" s="48" t="str">
        <f>IFERROR(MAX(tblRiskRegister15[[#This Row],[Impact to Mission]:[Impact to Obligations]])*tblRiskRegister15[[#This Row],[Expectancy Score]],"")</f>
        <v/>
      </c>
      <c r="M81" s="48" t="str">
        <f>tblRiskRegister15[[#This Row],[Risk Score]]</f>
        <v/>
      </c>
      <c r="N81" s="203"/>
      <c r="O81" s="29">
        <v>14.4</v>
      </c>
      <c r="P81" s="30" t="s">
        <v>137</v>
      </c>
      <c r="Q81" s="30" t="s">
        <v>254</v>
      </c>
      <c r="R81" s="49"/>
      <c r="S81" s="25"/>
      <c r="T81" s="46" t="str">
        <f>IFERROR(VLOOKUP(10*tblRiskRegister15[[#This Row],[Risk Treatment Safeguard Maturity Score]]+tblRiskRegister15[[#This Row],[VCDB Index]],tblHITIndexWeightTable[],4,FALSE),"")</f>
        <v/>
      </c>
      <c r="U81" s="46">
        <f>VLOOKUP(tblRiskRegister15[[#This Row],[Asset Class]],tblImpactIndex17[],2,FALSE)</f>
        <v>0</v>
      </c>
      <c r="V81" s="46">
        <f>VLOOKUP(tblRiskRegister15[[#This Row],[Asset Class]],tblImpactIndex17[],3,FALSE)</f>
        <v>0</v>
      </c>
      <c r="W81" s="46">
        <f>VLOOKUP(tblRiskRegister15[[#This Row],[Asset Class]],tblImpactIndex17[],4,FALSE)</f>
        <v>0</v>
      </c>
      <c r="X81" s="46" t="str">
        <f>IFERROR(MAX(tblRiskRegister15[[#This Row],[Risk Treatment Safeguard Impact to Mission]:[Risk Treatment Safeguard Impact to Obligations]])*tblRiskRegister15[[#This Row],[Risk Treatment
Safeguard Expectancy Score]],"")</f>
        <v/>
      </c>
      <c r="Y81" s="46" t="str">
        <f>IF(tblRiskRegister15[[#This Row],[Risk Score]]&gt;5,IF(tblRiskRegister15[[#This Row],[Risk Treatment Safeguard Risk Score]]&lt;6, IF(tblRiskRegister15[[#This Row],[Risk Treatment Safeguard Risk Score]]&lt;=tblRiskRegister15[[#This Row],[Risk Score]],"Yes","No"),"No"),"Yes")</f>
        <v>No</v>
      </c>
      <c r="Z81" s="26"/>
      <c r="AA81" s="26"/>
      <c r="AB81" s="27"/>
    </row>
    <row r="82" spans="2:28" ht="51" x14ac:dyDescent="0.2">
      <c r="B82" s="29">
        <v>14.5</v>
      </c>
      <c r="C82" s="30" t="s">
        <v>138</v>
      </c>
      <c r="D82" s="235" t="s">
        <v>451</v>
      </c>
      <c r="E82" s="30" t="s">
        <v>151</v>
      </c>
      <c r="F82" s="25"/>
      <c r="G82" s="48">
        <f>IFERROR(VLOOKUP(tblRiskRegister15[[#This Row],[Asset Class]],tblVCDBIndex[],4,FALSE),"")</f>
        <v>3</v>
      </c>
      <c r="H82" s="48" t="str">
        <f>IFERROR(VLOOKUP(10*tblRiskRegister15[[#This Row],[Safeguard Maturity Score]]+tblRiskRegister15[[#This Row],[VCDB Index]],tblHITIndexWeightTable[],4,FALSE),"")</f>
        <v/>
      </c>
      <c r="I82" s="48">
        <f>VLOOKUP(tblRiskRegister15[[#This Row],[Asset Class]],tblImpactIndex17[],2,FALSE)</f>
        <v>0</v>
      </c>
      <c r="J82" s="48">
        <f>VLOOKUP(tblRiskRegister15[[#This Row],[Asset Class]],tblImpactIndex17[],3,FALSE)</f>
        <v>0</v>
      </c>
      <c r="K82" s="48">
        <f>VLOOKUP(tblRiskRegister15[[#This Row],[Asset Class]],tblImpactIndex17[],4,FALSE)</f>
        <v>0</v>
      </c>
      <c r="L82" s="48" t="str">
        <f>IFERROR(MAX(tblRiskRegister15[[#This Row],[Impact to Mission]:[Impact to Obligations]])*tblRiskRegister15[[#This Row],[Expectancy Score]],"")</f>
        <v/>
      </c>
      <c r="M82" s="48" t="str">
        <f>tblRiskRegister15[[#This Row],[Risk Score]]</f>
        <v/>
      </c>
      <c r="N82" s="203"/>
      <c r="O82" s="29">
        <v>14.5</v>
      </c>
      <c r="P82" s="30" t="s">
        <v>138</v>
      </c>
      <c r="Q82" s="30" t="s">
        <v>255</v>
      </c>
      <c r="R82" s="49"/>
      <c r="S82" s="25"/>
      <c r="T82" s="46" t="str">
        <f>IFERROR(VLOOKUP(10*tblRiskRegister15[[#This Row],[Risk Treatment Safeguard Maturity Score]]+tblRiskRegister15[[#This Row],[VCDB Index]],tblHITIndexWeightTable[],4,FALSE),"")</f>
        <v/>
      </c>
      <c r="U82" s="46">
        <f>VLOOKUP(tblRiskRegister15[[#This Row],[Asset Class]],tblImpactIndex17[],2,FALSE)</f>
        <v>0</v>
      </c>
      <c r="V82" s="46">
        <f>VLOOKUP(tblRiskRegister15[[#This Row],[Asset Class]],tblImpactIndex17[],3,FALSE)</f>
        <v>0</v>
      </c>
      <c r="W82" s="46">
        <f>VLOOKUP(tblRiskRegister15[[#This Row],[Asset Class]],tblImpactIndex17[],4,FALSE)</f>
        <v>0</v>
      </c>
      <c r="X82" s="46" t="str">
        <f>IFERROR(MAX(tblRiskRegister15[[#This Row],[Risk Treatment Safeguard Impact to Mission]:[Risk Treatment Safeguard Impact to Obligations]])*tblRiskRegister15[[#This Row],[Risk Treatment
Safeguard Expectancy Score]],"")</f>
        <v/>
      </c>
      <c r="Y82" s="46" t="str">
        <f>IF(tblRiskRegister15[[#This Row],[Risk Score]]&gt;5,IF(tblRiskRegister15[[#This Row],[Risk Treatment Safeguard Risk Score]]&lt;6, IF(tblRiskRegister15[[#This Row],[Risk Treatment Safeguard Risk Score]]&lt;=tblRiskRegister15[[#This Row],[Risk Score]],"Yes","No"),"No"),"Yes")</f>
        <v>No</v>
      </c>
      <c r="Z82" s="26"/>
      <c r="AA82" s="26"/>
      <c r="AB82" s="27"/>
    </row>
    <row r="83" spans="2:28" ht="63.75" x14ac:dyDescent="0.2">
      <c r="B83" s="29">
        <v>14.6</v>
      </c>
      <c r="C83" s="30" t="s">
        <v>139</v>
      </c>
      <c r="D83" s="235" t="s">
        <v>451</v>
      </c>
      <c r="E83" s="30" t="s">
        <v>151</v>
      </c>
      <c r="F83" s="25"/>
      <c r="G83" s="48">
        <f>IFERROR(VLOOKUP(tblRiskRegister15[[#This Row],[Asset Class]],tblVCDBIndex[],4,FALSE),"")</f>
        <v>3</v>
      </c>
      <c r="H83" s="48" t="str">
        <f>IFERROR(VLOOKUP(10*tblRiskRegister15[[#This Row],[Safeguard Maturity Score]]+tblRiskRegister15[[#This Row],[VCDB Index]],tblHITIndexWeightTable[],4,FALSE),"")</f>
        <v/>
      </c>
      <c r="I83" s="48">
        <f>VLOOKUP(tblRiskRegister15[[#This Row],[Asset Class]],tblImpactIndex17[],2,FALSE)</f>
        <v>0</v>
      </c>
      <c r="J83" s="48">
        <f>VLOOKUP(tblRiskRegister15[[#This Row],[Asset Class]],tblImpactIndex17[],3,FALSE)</f>
        <v>0</v>
      </c>
      <c r="K83" s="48">
        <f>VLOOKUP(tblRiskRegister15[[#This Row],[Asset Class]],tblImpactIndex17[],4,FALSE)</f>
        <v>0</v>
      </c>
      <c r="L83" s="48" t="str">
        <f>IFERROR(MAX(tblRiskRegister15[[#This Row],[Impact to Mission]:[Impact to Obligations]])*tblRiskRegister15[[#This Row],[Expectancy Score]],"")</f>
        <v/>
      </c>
      <c r="M83" s="48" t="str">
        <f>tblRiskRegister15[[#This Row],[Risk Score]]</f>
        <v/>
      </c>
      <c r="N83" s="203"/>
      <c r="O83" s="29">
        <v>14.6</v>
      </c>
      <c r="P83" s="30" t="s">
        <v>139</v>
      </c>
      <c r="Q83" s="30" t="s">
        <v>256</v>
      </c>
      <c r="R83" s="49"/>
      <c r="S83" s="25"/>
      <c r="T83" s="46" t="str">
        <f>IFERROR(VLOOKUP(10*tblRiskRegister15[[#This Row],[Risk Treatment Safeguard Maturity Score]]+tblRiskRegister15[[#This Row],[VCDB Index]],tblHITIndexWeightTable[],4,FALSE),"")</f>
        <v/>
      </c>
      <c r="U83" s="46">
        <f>VLOOKUP(tblRiskRegister15[[#This Row],[Asset Class]],tblImpactIndex17[],2,FALSE)</f>
        <v>0</v>
      </c>
      <c r="V83" s="46">
        <f>VLOOKUP(tblRiskRegister15[[#This Row],[Asset Class]],tblImpactIndex17[],3,FALSE)</f>
        <v>0</v>
      </c>
      <c r="W83" s="46">
        <f>VLOOKUP(tblRiskRegister15[[#This Row],[Asset Class]],tblImpactIndex17[],4,FALSE)</f>
        <v>0</v>
      </c>
      <c r="X83" s="46" t="str">
        <f>IFERROR(MAX(tblRiskRegister15[[#This Row],[Risk Treatment Safeguard Impact to Mission]:[Risk Treatment Safeguard Impact to Obligations]])*tblRiskRegister15[[#This Row],[Risk Treatment
Safeguard Expectancy Score]],"")</f>
        <v/>
      </c>
      <c r="Y83" s="46" t="str">
        <f>IF(tblRiskRegister15[[#This Row],[Risk Score]]&gt;5,IF(tblRiskRegister15[[#This Row],[Risk Treatment Safeguard Risk Score]]&lt;6, IF(tblRiskRegister15[[#This Row],[Risk Treatment Safeguard Risk Score]]&lt;=tblRiskRegister15[[#This Row],[Risk Score]],"Yes","No"),"No"),"Yes")</f>
        <v>No</v>
      </c>
      <c r="Z83" s="26"/>
      <c r="AA83" s="26"/>
      <c r="AB83" s="27"/>
    </row>
    <row r="84" spans="2:28" ht="76.5" x14ac:dyDescent="0.2">
      <c r="B84" s="29">
        <v>14.7</v>
      </c>
      <c r="C84" s="30" t="s">
        <v>140</v>
      </c>
      <c r="D84" s="235" t="s">
        <v>451</v>
      </c>
      <c r="E84" s="30" t="s">
        <v>151</v>
      </c>
      <c r="F84" s="25"/>
      <c r="G84" s="48">
        <f>IFERROR(VLOOKUP(tblRiskRegister15[[#This Row],[Asset Class]],tblVCDBIndex[],4,FALSE),"")</f>
        <v>3</v>
      </c>
      <c r="H84" s="48" t="str">
        <f>IFERROR(VLOOKUP(10*tblRiskRegister15[[#This Row],[Safeguard Maturity Score]]+tblRiskRegister15[[#This Row],[VCDB Index]],tblHITIndexWeightTable[],4,FALSE),"")</f>
        <v/>
      </c>
      <c r="I84" s="48">
        <f>VLOOKUP(tblRiskRegister15[[#This Row],[Asset Class]],tblImpactIndex17[],2,FALSE)</f>
        <v>0</v>
      </c>
      <c r="J84" s="48">
        <f>VLOOKUP(tblRiskRegister15[[#This Row],[Asset Class]],tblImpactIndex17[],3,FALSE)</f>
        <v>0</v>
      </c>
      <c r="K84" s="48">
        <f>VLOOKUP(tblRiskRegister15[[#This Row],[Asset Class]],tblImpactIndex17[],4,FALSE)</f>
        <v>0</v>
      </c>
      <c r="L84" s="48" t="str">
        <f>IFERROR(MAX(tblRiskRegister15[[#This Row],[Impact to Mission]:[Impact to Obligations]])*tblRiskRegister15[[#This Row],[Expectancy Score]],"")</f>
        <v/>
      </c>
      <c r="M84" s="48" t="str">
        <f>tblRiskRegister15[[#This Row],[Risk Score]]</f>
        <v/>
      </c>
      <c r="N84" s="203"/>
      <c r="O84" s="29">
        <v>14.7</v>
      </c>
      <c r="P84" s="30" t="s">
        <v>140</v>
      </c>
      <c r="Q84" s="30" t="s">
        <v>257</v>
      </c>
      <c r="R84" s="49"/>
      <c r="S84" s="25"/>
      <c r="T84" s="46" t="str">
        <f>IFERROR(VLOOKUP(10*tblRiskRegister15[[#This Row],[Risk Treatment Safeguard Maturity Score]]+tblRiskRegister15[[#This Row],[VCDB Index]],tblHITIndexWeightTable[],4,FALSE),"")</f>
        <v/>
      </c>
      <c r="U84" s="46">
        <f>VLOOKUP(tblRiskRegister15[[#This Row],[Asset Class]],tblImpactIndex17[],2,FALSE)</f>
        <v>0</v>
      </c>
      <c r="V84" s="46">
        <f>VLOOKUP(tblRiskRegister15[[#This Row],[Asset Class]],tblImpactIndex17[],3,FALSE)</f>
        <v>0</v>
      </c>
      <c r="W84" s="46">
        <f>VLOOKUP(tblRiskRegister15[[#This Row],[Asset Class]],tblImpactIndex17[],4,FALSE)</f>
        <v>0</v>
      </c>
      <c r="X84" s="46" t="str">
        <f>IFERROR(MAX(tblRiskRegister15[[#This Row],[Risk Treatment Safeguard Impact to Mission]:[Risk Treatment Safeguard Impact to Obligations]])*tblRiskRegister15[[#This Row],[Risk Treatment
Safeguard Expectancy Score]],"")</f>
        <v/>
      </c>
      <c r="Y84" s="46" t="str">
        <f>IF(tblRiskRegister15[[#This Row],[Risk Score]]&gt;5,IF(tblRiskRegister15[[#This Row],[Risk Treatment Safeguard Risk Score]]&lt;6, IF(tblRiskRegister15[[#This Row],[Risk Treatment Safeguard Risk Score]]&lt;=tblRiskRegister15[[#This Row],[Risk Score]],"Yes","No"),"No"),"Yes")</f>
        <v>No</v>
      </c>
      <c r="Z84" s="26"/>
      <c r="AA84" s="26"/>
      <c r="AB84" s="27"/>
    </row>
    <row r="85" spans="2:28" ht="63.75" x14ac:dyDescent="0.2">
      <c r="B85" s="29">
        <v>14.8</v>
      </c>
      <c r="C85" s="30" t="s">
        <v>141</v>
      </c>
      <c r="D85" s="235" t="s">
        <v>451</v>
      </c>
      <c r="E85" s="30" t="s">
        <v>151</v>
      </c>
      <c r="F85" s="25"/>
      <c r="G85" s="48">
        <f>IFERROR(VLOOKUP(tblRiskRegister15[[#This Row],[Asset Class]],tblVCDBIndex[],4,FALSE),"")</f>
        <v>3</v>
      </c>
      <c r="H85" s="48" t="str">
        <f>IFERROR(VLOOKUP(10*tblRiskRegister15[[#This Row],[Safeguard Maturity Score]]+tblRiskRegister15[[#This Row],[VCDB Index]],tblHITIndexWeightTable[],4,FALSE),"")</f>
        <v/>
      </c>
      <c r="I85" s="48">
        <f>VLOOKUP(tblRiskRegister15[[#This Row],[Asset Class]],tblImpactIndex17[],2,FALSE)</f>
        <v>0</v>
      </c>
      <c r="J85" s="48">
        <f>VLOOKUP(tblRiskRegister15[[#This Row],[Asset Class]],tblImpactIndex17[],3,FALSE)</f>
        <v>0</v>
      </c>
      <c r="K85" s="48">
        <f>VLOOKUP(tblRiskRegister15[[#This Row],[Asset Class]],tblImpactIndex17[],4,FALSE)</f>
        <v>0</v>
      </c>
      <c r="L85" s="48" t="str">
        <f>IFERROR(MAX(tblRiskRegister15[[#This Row],[Impact to Mission]:[Impact to Obligations]])*tblRiskRegister15[[#This Row],[Expectancy Score]],"")</f>
        <v/>
      </c>
      <c r="M85" s="48" t="str">
        <f>tblRiskRegister15[[#This Row],[Risk Score]]</f>
        <v/>
      </c>
      <c r="N85" s="203"/>
      <c r="O85" s="29">
        <v>14.8</v>
      </c>
      <c r="P85" s="30" t="s">
        <v>141</v>
      </c>
      <c r="Q85" s="30" t="s">
        <v>258</v>
      </c>
      <c r="R85" s="49"/>
      <c r="S85" s="25"/>
      <c r="T85" s="46" t="str">
        <f>IFERROR(VLOOKUP(10*tblRiskRegister15[[#This Row],[Risk Treatment Safeguard Maturity Score]]+tblRiskRegister15[[#This Row],[VCDB Index]],tblHITIndexWeightTable[],4,FALSE),"")</f>
        <v/>
      </c>
      <c r="U85" s="46">
        <f>VLOOKUP(tblRiskRegister15[[#This Row],[Asset Class]],tblImpactIndex17[],2,FALSE)</f>
        <v>0</v>
      </c>
      <c r="V85" s="46">
        <f>VLOOKUP(tblRiskRegister15[[#This Row],[Asset Class]],tblImpactIndex17[],3,FALSE)</f>
        <v>0</v>
      </c>
      <c r="W85" s="46">
        <f>VLOOKUP(tblRiskRegister15[[#This Row],[Asset Class]],tblImpactIndex17[],4,FALSE)</f>
        <v>0</v>
      </c>
      <c r="X85" s="46" t="str">
        <f>IFERROR(MAX(tblRiskRegister15[[#This Row],[Risk Treatment Safeguard Impact to Mission]:[Risk Treatment Safeguard Impact to Obligations]])*tblRiskRegister15[[#This Row],[Risk Treatment
Safeguard Expectancy Score]],"")</f>
        <v/>
      </c>
      <c r="Y85" s="46" t="str">
        <f>IF(tblRiskRegister15[[#This Row],[Risk Score]]&gt;5,IF(tblRiskRegister15[[#This Row],[Risk Treatment Safeguard Risk Score]]&lt;6, IF(tblRiskRegister15[[#This Row],[Risk Treatment Safeguard Risk Score]]&lt;=tblRiskRegister15[[#This Row],[Risk Score]],"Yes","No"),"No"),"Yes")</f>
        <v>No</v>
      </c>
      <c r="Z85" s="26"/>
      <c r="AA85" s="26"/>
      <c r="AB85" s="27"/>
    </row>
    <row r="86" spans="2:28" ht="51" x14ac:dyDescent="0.2">
      <c r="B86" s="29">
        <v>15.1</v>
      </c>
      <c r="C86" s="30" t="s">
        <v>142</v>
      </c>
      <c r="D86" s="235" t="s">
        <v>449</v>
      </c>
      <c r="E86" s="30" t="s">
        <v>151</v>
      </c>
      <c r="F86" s="25"/>
      <c r="G86" s="48">
        <f>IFERROR(VLOOKUP(tblRiskRegister15[[#This Row],[Asset Class]],tblVCDBIndex[],4,FALSE),"")</f>
        <v>3</v>
      </c>
      <c r="H86" s="48" t="str">
        <f>IFERROR(VLOOKUP(10*tblRiskRegister15[[#This Row],[Safeguard Maturity Score]]+tblRiskRegister15[[#This Row],[VCDB Index]],tblHITIndexWeightTable[],4,FALSE),"")</f>
        <v/>
      </c>
      <c r="I86" s="48">
        <f>VLOOKUP(tblRiskRegister15[[#This Row],[Asset Class]],tblImpactIndex17[],2,FALSE)</f>
        <v>0</v>
      </c>
      <c r="J86" s="48">
        <f>VLOOKUP(tblRiskRegister15[[#This Row],[Asset Class]],tblImpactIndex17[],3,FALSE)</f>
        <v>0</v>
      </c>
      <c r="K86" s="48">
        <f>VLOOKUP(tblRiskRegister15[[#This Row],[Asset Class]],tblImpactIndex17[],4,FALSE)</f>
        <v>0</v>
      </c>
      <c r="L86" s="48" t="str">
        <f>IFERROR(MAX(tblRiskRegister15[[#This Row],[Impact to Mission]:[Impact to Obligations]])*tblRiskRegister15[[#This Row],[Expectancy Score]],"")</f>
        <v/>
      </c>
      <c r="M86" s="48" t="str">
        <f>tblRiskRegister15[[#This Row],[Risk Score]]</f>
        <v/>
      </c>
      <c r="N86" s="203"/>
      <c r="O86" s="29">
        <v>15.1</v>
      </c>
      <c r="P86" s="30" t="s">
        <v>142</v>
      </c>
      <c r="Q86" s="30" t="s">
        <v>259</v>
      </c>
      <c r="R86" s="49"/>
      <c r="S86" s="25"/>
      <c r="T86" s="46" t="str">
        <f>IFERROR(VLOOKUP(10*tblRiskRegister15[[#This Row],[Risk Treatment Safeguard Maturity Score]]+tblRiskRegister15[[#This Row],[VCDB Index]],tblHITIndexWeightTable[],4,FALSE),"")</f>
        <v/>
      </c>
      <c r="U86" s="46">
        <f>VLOOKUP(tblRiskRegister15[[#This Row],[Asset Class]],tblImpactIndex17[],2,FALSE)</f>
        <v>0</v>
      </c>
      <c r="V86" s="46">
        <f>VLOOKUP(tblRiskRegister15[[#This Row],[Asset Class]],tblImpactIndex17[],3,FALSE)</f>
        <v>0</v>
      </c>
      <c r="W86" s="46">
        <f>VLOOKUP(tblRiskRegister15[[#This Row],[Asset Class]],tblImpactIndex17[],4,FALSE)</f>
        <v>0</v>
      </c>
      <c r="X86" s="46" t="str">
        <f>IFERROR(MAX(tblRiskRegister15[[#This Row],[Risk Treatment Safeguard Impact to Mission]:[Risk Treatment Safeguard Impact to Obligations]])*tblRiskRegister15[[#This Row],[Risk Treatment
Safeguard Expectancy Score]],"")</f>
        <v/>
      </c>
      <c r="Y86" s="46" t="str">
        <f>IF(tblRiskRegister15[[#This Row],[Risk Score]]&gt;5,IF(tblRiskRegister15[[#This Row],[Risk Treatment Safeguard Risk Score]]&lt;6, IF(tblRiskRegister15[[#This Row],[Risk Treatment Safeguard Risk Score]]&lt;=tblRiskRegister15[[#This Row],[Risk Score]],"Yes","No"),"No"),"Yes")</f>
        <v>No</v>
      </c>
      <c r="Z86" s="26"/>
      <c r="AA86" s="26"/>
      <c r="AB86" s="27"/>
    </row>
    <row r="87" spans="2:28" ht="76.5" x14ac:dyDescent="0.2">
      <c r="B87" s="29">
        <v>17.100000000000001</v>
      </c>
      <c r="C87" s="30" t="s">
        <v>143</v>
      </c>
      <c r="D87" s="235" t="s">
        <v>450</v>
      </c>
      <c r="E87" s="30" t="s">
        <v>151</v>
      </c>
      <c r="F87" s="25"/>
      <c r="G87" s="48">
        <f>IFERROR(VLOOKUP(tblRiskRegister15[[#This Row],[Asset Class]],tblVCDBIndex[],4,FALSE),"")</f>
        <v>3</v>
      </c>
      <c r="H87" s="48" t="str">
        <f>IFERROR(VLOOKUP(10*tblRiskRegister15[[#This Row],[Safeguard Maturity Score]]+tblRiskRegister15[[#This Row],[VCDB Index]],tblHITIndexWeightTable[],4,FALSE),"")</f>
        <v/>
      </c>
      <c r="I87" s="48">
        <f>VLOOKUP(tblRiskRegister15[[#This Row],[Asset Class]],tblImpactIndex17[],2,FALSE)</f>
        <v>0</v>
      </c>
      <c r="J87" s="48">
        <f>VLOOKUP(tblRiskRegister15[[#This Row],[Asset Class]],tblImpactIndex17[],3,FALSE)</f>
        <v>0</v>
      </c>
      <c r="K87" s="48">
        <f>VLOOKUP(tblRiskRegister15[[#This Row],[Asset Class]],tblImpactIndex17[],4,FALSE)</f>
        <v>0</v>
      </c>
      <c r="L87" s="48" t="str">
        <f>IFERROR(MAX(tblRiskRegister15[[#This Row],[Impact to Mission]:[Impact to Obligations]])*tblRiskRegister15[[#This Row],[Expectancy Score]],"")</f>
        <v/>
      </c>
      <c r="M87" s="48" t="str">
        <f>tblRiskRegister15[[#This Row],[Risk Score]]</f>
        <v/>
      </c>
      <c r="N87" s="203"/>
      <c r="O87" s="29">
        <v>17.100000000000001</v>
      </c>
      <c r="P87" s="30" t="s">
        <v>143</v>
      </c>
      <c r="Q87" s="30" t="s">
        <v>260</v>
      </c>
      <c r="R87" s="49"/>
      <c r="S87" s="25"/>
      <c r="T87" s="46" t="str">
        <f>IFERROR(VLOOKUP(10*tblRiskRegister15[[#This Row],[Risk Treatment Safeguard Maturity Score]]+tblRiskRegister15[[#This Row],[VCDB Index]],tblHITIndexWeightTable[],4,FALSE),"")</f>
        <v/>
      </c>
      <c r="U87" s="46">
        <f>VLOOKUP(tblRiskRegister15[[#This Row],[Asset Class]],tblImpactIndex17[],2,FALSE)</f>
        <v>0</v>
      </c>
      <c r="V87" s="46">
        <f>VLOOKUP(tblRiskRegister15[[#This Row],[Asset Class]],tblImpactIndex17[],3,FALSE)</f>
        <v>0</v>
      </c>
      <c r="W87" s="46">
        <f>VLOOKUP(tblRiskRegister15[[#This Row],[Asset Class]],tblImpactIndex17[],4,FALSE)</f>
        <v>0</v>
      </c>
      <c r="X87" s="46" t="str">
        <f>IFERROR(MAX(tblRiskRegister15[[#This Row],[Risk Treatment Safeguard Impact to Mission]:[Risk Treatment Safeguard Impact to Obligations]])*tblRiskRegister15[[#This Row],[Risk Treatment
Safeguard Expectancy Score]],"")</f>
        <v/>
      </c>
      <c r="Y87" s="46" t="str">
        <f>IF(tblRiskRegister15[[#This Row],[Risk Score]]&gt;5,IF(tblRiskRegister15[[#This Row],[Risk Treatment Safeguard Risk Score]]&lt;6, IF(tblRiskRegister15[[#This Row],[Risk Treatment Safeguard Risk Score]]&lt;=tblRiskRegister15[[#This Row],[Risk Score]],"Yes","No"),"No"),"Yes")</f>
        <v>No</v>
      </c>
      <c r="Z87" s="26"/>
      <c r="AA87" s="26"/>
      <c r="AB87" s="27"/>
    </row>
    <row r="88" spans="2:28" ht="51" x14ac:dyDescent="0.2">
      <c r="B88" s="29">
        <v>17.2</v>
      </c>
      <c r="C88" s="30" t="s">
        <v>144</v>
      </c>
      <c r="D88" s="235" t="s">
        <v>450</v>
      </c>
      <c r="E88" s="30" t="s">
        <v>151</v>
      </c>
      <c r="F88" s="25"/>
      <c r="G88" s="48">
        <f>IFERROR(VLOOKUP(tblRiskRegister15[[#This Row],[Asset Class]],tblVCDBIndex[],4,FALSE),"")</f>
        <v>3</v>
      </c>
      <c r="H88" s="48" t="str">
        <f>IFERROR(VLOOKUP(10*tblRiskRegister15[[#This Row],[Safeguard Maturity Score]]+tblRiskRegister15[[#This Row],[VCDB Index]],tblHITIndexWeightTable[],4,FALSE),"")</f>
        <v/>
      </c>
      <c r="I88" s="48">
        <f>VLOOKUP(tblRiskRegister15[[#This Row],[Asset Class]],tblImpactIndex17[],2,FALSE)</f>
        <v>0</v>
      </c>
      <c r="J88" s="48">
        <f>VLOOKUP(tblRiskRegister15[[#This Row],[Asset Class]],tblImpactIndex17[],3,FALSE)</f>
        <v>0</v>
      </c>
      <c r="K88" s="48">
        <f>VLOOKUP(tblRiskRegister15[[#This Row],[Asset Class]],tblImpactIndex17[],4,FALSE)</f>
        <v>0</v>
      </c>
      <c r="L88" s="48" t="str">
        <f>IFERROR(MAX(tblRiskRegister15[[#This Row],[Impact to Mission]:[Impact to Obligations]])*tblRiskRegister15[[#This Row],[Expectancy Score]],"")</f>
        <v/>
      </c>
      <c r="M88" s="48" t="str">
        <f>tblRiskRegister15[[#This Row],[Risk Score]]</f>
        <v/>
      </c>
      <c r="N88" s="203"/>
      <c r="O88" s="29">
        <v>17.2</v>
      </c>
      <c r="P88" s="30" t="s">
        <v>144</v>
      </c>
      <c r="Q88" s="30" t="s">
        <v>261</v>
      </c>
      <c r="R88" s="49"/>
      <c r="S88" s="25"/>
      <c r="T88" s="46" t="str">
        <f>IFERROR(VLOOKUP(10*tblRiskRegister15[[#This Row],[Risk Treatment Safeguard Maturity Score]]+tblRiskRegister15[[#This Row],[VCDB Index]],tblHITIndexWeightTable[],4,FALSE),"")</f>
        <v/>
      </c>
      <c r="U88" s="46">
        <f>VLOOKUP(tblRiskRegister15[[#This Row],[Asset Class]],tblImpactIndex17[],2,FALSE)</f>
        <v>0</v>
      </c>
      <c r="V88" s="46">
        <f>VLOOKUP(tblRiskRegister15[[#This Row],[Asset Class]],tblImpactIndex17[],3,FALSE)</f>
        <v>0</v>
      </c>
      <c r="W88" s="46">
        <f>VLOOKUP(tblRiskRegister15[[#This Row],[Asset Class]],tblImpactIndex17[],4,FALSE)</f>
        <v>0</v>
      </c>
      <c r="X88" s="46" t="str">
        <f>IFERROR(MAX(tblRiskRegister15[[#This Row],[Risk Treatment Safeguard Impact to Mission]:[Risk Treatment Safeguard Impact to Obligations]])*tblRiskRegister15[[#This Row],[Risk Treatment
Safeguard Expectancy Score]],"")</f>
        <v/>
      </c>
      <c r="Y88" s="46" t="str">
        <f>IF(tblRiskRegister15[[#This Row],[Risk Score]]&gt;5,IF(tblRiskRegister15[[#This Row],[Risk Treatment Safeguard Risk Score]]&lt;6, IF(tblRiskRegister15[[#This Row],[Risk Treatment Safeguard Risk Score]]&lt;=tblRiskRegister15[[#This Row],[Risk Score]],"Yes","No"),"No"),"Yes")</f>
        <v>No</v>
      </c>
      <c r="Z88" s="26"/>
      <c r="AA88" s="26"/>
      <c r="AB88" s="27"/>
    </row>
    <row r="89" spans="2:28" ht="51" x14ac:dyDescent="0.2">
      <c r="B89" s="29">
        <v>17.3</v>
      </c>
      <c r="C89" s="30" t="s">
        <v>145</v>
      </c>
      <c r="D89" s="235" t="s">
        <v>450</v>
      </c>
      <c r="E89" s="30" t="s">
        <v>151</v>
      </c>
      <c r="F89" s="25"/>
      <c r="G89" s="48">
        <f>IFERROR(VLOOKUP(tblRiskRegister15[[#This Row],[Asset Class]],tblVCDBIndex[],4,FALSE),"")</f>
        <v>3</v>
      </c>
      <c r="H89" s="48" t="str">
        <f>IFERROR(VLOOKUP(10*tblRiskRegister15[[#This Row],[Safeguard Maturity Score]]+tblRiskRegister15[[#This Row],[VCDB Index]],tblHITIndexWeightTable[],4,FALSE),"")</f>
        <v/>
      </c>
      <c r="I89" s="48">
        <f>VLOOKUP(tblRiskRegister15[[#This Row],[Asset Class]],tblImpactIndex17[],2,FALSE)</f>
        <v>0</v>
      </c>
      <c r="J89" s="48">
        <f>VLOOKUP(tblRiskRegister15[[#This Row],[Asset Class]],tblImpactIndex17[],3,FALSE)</f>
        <v>0</v>
      </c>
      <c r="K89" s="48">
        <f>VLOOKUP(tblRiskRegister15[[#This Row],[Asset Class]],tblImpactIndex17[],4,FALSE)</f>
        <v>0</v>
      </c>
      <c r="L89" s="48" t="str">
        <f>IFERROR(MAX(tblRiskRegister15[[#This Row],[Impact to Mission]:[Impact to Obligations]])*tblRiskRegister15[[#This Row],[Expectancy Score]],"")</f>
        <v/>
      </c>
      <c r="M89" s="48" t="str">
        <f>tblRiskRegister15[[#This Row],[Risk Score]]</f>
        <v/>
      </c>
      <c r="N89" s="203"/>
      <c r="O89" s="29">
        <v>17.3</v>
      </c>
      <c r="P89" s="30" t="s">
        <v>145</v>
      </c>
      <c r="Q89" s="30" t="s">
        <v>262</v>
      </c>
      <c r="R89" s="49"/>
      <c r="S89" s="25"/>
      <c r="T89" s="46" t="str">
        <f>IFERROR(VLOOKUP(10*tblRiskRegister15[[#This Row],[Risk Treatment Safeguard Maturity Score]]+tblRiskRegister15[[#This Row],[VCDB Index]],tblHITIndexWeightTable[],4,FALSE),"")</f>
        <v/>
      </c>
      <c r="U89" s="46">
        <f>VLOOKUP(tblRiskRegister15[[#This Row],[Asset Class]],tblImpactIndex17[],2,FALSE)</f>
        <v>0</v>
      </c>
      <c r="V89" s="46">
        <f>VLOOKUP(tblRiskRegister15[[#This Row],[Asset Class]],tblImpactIndex17[],3,FALSE)</f>
        <v>0</v>
      </c>
      <c r="W89" s="46">
        <f>VLOOKUP(tblRiskRegister15[[#This Row],[Asset Class]],tblImpactIndex17[],4,FALSE)</f>
        <v>0</v>
      </c>
      <c r="X89" s="46" t="str">
        <f>IFERROR(MAX(tblRiskRegister15[[#This Row],[Risk Treatment Safeguard Impact to Mission]:[Risk Treatment Safeguard Impact to Obligations]])*tblRiskRegister15[[#This Row],[Risk Treatment
Safeguard Expectancy Score]],"")</f>
        <v/>
      </c>
      <c r="Y89" s="46" t="str">
        <f>IF(tblRiskRegister15[[#This Row],[Risk Score]]&gt;5,IF(tblRiskRegister15[[#This Row],[Risk Treatment Safeguard Risk Score]]&lt;6, IF(tblRiskRegister15[[#This Row],[Risk Treatment Safeguard Risk Score]]&lt;=tblRiskRegister15[[#This Row],[Risk Score]],"Yes","No"),"No"),"Yes")</f>
        <v>No</v>
      </c>
      <c r="Z89" s="26"/>
      <c r="AA89" s="26"/>
      <c r="AB89" s="27"/>
    </row>
  </sheetData>
  <sheetProtection sheet="1" formatCells="0" formatColumns="0" formatRows="0" insertRows="0" sort="0" autoFilter="0" pivotTables="0"/>
  <protectedRanges>
    <protectedRange sqref="O34:O89" name="Range1"/>
    <protectedRange sqref="P34:Q89" name="Range1_1"/>
  </protectedRanges>
  <mergeCells count="13">
    <mergeCell ref="B2:B4"/>
    <mergeCell ref="D2:E2"/>
    <mergeCell ref="D3:E3"/>
    <mergeCell ref="D4:E4"/>
    <mergeCell ref="C8:F8"/>
    <mergeCell ref="AD31:AF31"/>
    <mergeCell ref="N31:AB31"/>
    <mergeCell ref="C31:L31"/>
    <mergeCell ref="H8:I14"/>
    <mergeCell ref="C18:E18"/>
    <mergeCell ref="H18:H26"/>
    <mergeCell ref="F20:G20"/>
    <mergeCell ref="F21:G26"/>
  </mergeCells>
  <conditionalFormatting sqref="M34:N89">
    <cfRule type="iconSet" priority="31">
      <iconSet showValue="0" reverse="1">
        <cfvo type="percent" val="0"/>
        <cfvo type="num" val="6"/>
        <cfvo type="num" val="6" gte="0"/>
      </iconSet>
    </cfRule>
    <cfRule type="iconSet" priority="32">
      <iconSet showValue="0" reverse="1">
        <cfvo type="percent" val="0"/>
        <cfvo type="num" val="6"/>
        <cfvo type="num" val="15"/>
      </iconSet>
    </cfRule>
    <cfRule type="iconSet" priority="33">
      <iconSet>
        <cfvo type="percent" val="0"/>
        <cfvo type="percent" val="33"/>
        <cfvo type="percent" val="67"/>
      </iconSet>
    </cfRule>
  </conditionalFormatting>
  <conditionalFormatting sqref="D86 D52 D39:D40 D36:D37 D34">
    <cfRule type="containsText" dxfId="170" priority="26" operator="containsText" text="Protect">
      <formula>NOT(ISERROR(SEARCH("Protect",D34)))</formula>
    </cfRule>
    <cfRule type="containsText" dxfId="169" priority="27" operator="containsText" text="Respond">
      <formula>NOT(ISERROR(SEARCH("Respond",D34)))</formula>
    </cfRule>
    <cfRule type="containsText" dxfId="168" priority="28" operator="containsText" text="Detect">
      <formula>NOT(ISERROR(SEARCH("Detect",D34)))</formula>
    </cfRule>
    <cfRule type="containsText" dxfId="167" priority="29" operator="containsText" text="Identify">
      <formula>NOT(ISERROR(SEARCH("Identify",D34)))</formula>
    </cfRule>
    <cfRule type="containsText" dxfId="166" priority="30" operator="containsText" text="Identity">
      <formula>NOT(ISERROR(SEARCH("Identity",D34)))</formula>
    </cfRule>
  </conditionalFormatting>
  <conditionalFormatting sqref="D62 D54 D38 D35">
    <cfRule type="containsText" dxfId="165" priority="21" operator="containsText" text="Protect">
      <formula>NOT(ISERROR(SEARCH("Protect",D35)))</formula>
    </cfRule>
    <cfRule type="containsText" dxfId="164" priority="22" operator="containsText" text="Respond">
      <formula>NOT(ISERROR(SEARCH("Respond",D35)))</formula>
    </cfRule>
    <cfRule type="containsText" dxfId="163" priority="23" operator="containsText" text="Detect">
      <formula>NOT(ISERROR(SEARCH("Detect",D35)))</formula>
    </cfRule>
    <cfRule type="containsText" dxfId="162" priority="24" operator="containsText" text="Identify">
      <formula>NOT(ISERROR(SEARCH("Identify",D35)))</formula>
    </cfRule>
    <cfRule type="containsText" dxfId="161" priority="25" operator="containsText" text="Identity">
      <formula>NOT(ISERROR(SEARCH("Identity",D35)))</formula>
    </cfRule>
  </conditionalFormatting>
  <conditionalFormatting sqref="D77:D85 D75 D67:D72 D63:D65 D55:D61 D53 D41:D51">
    <cfRule type="containsText" dxfId="160" priority="16" operator="containsText" text="Protect">
      <formula>NOT(ISERROR(SEARCH("Protect",D41)))</formula>
    </cfRule>
    <cfRule type="containsText" dxfId="159" priority="17" operator="containsText" text="Respond">
      <formula>NOT(ISERROR(SEARCH("Respond",D41)))</formula>
    </cfRule>
    <cfRule type="containsText" dxfId="158" priority="18" operator="containsText" text="Detect">
      <formula>NOT(ISERROR(SEARCH("Detect",D41)))</formula>
    </cfRule>
    <cfRule type="containsText" dxfId="157" priority="19" operator="containsText" text="Identify">
      <formula>NOT(ISERROR(SEARCH("Identify",D41)))</formula>
    </cfRule>
    <cfRule type="containsText" dxfId="156" priority="20" operator="containsText" text="Identity">
      <formula>NOT(ISERROR(SEARCH("Identity",D41)))</formula>
    </cfRule>
  </conditionalFormatting>
  <conditionalFormatting sqref="D66">
    <cfRule type="containsText" dxfId="155" priority="11" operator="containsText" text="Protect">
      <formula>NOT(ISERROR(SEARCH("Protect",D66)))</formula>
    </cfRule>
    <cfRule type="containsText" dxfId="154" priority="12" operator="containsText" text="Respond">
      <formula>NOT(ISERROR(SEARCH("Respond",D66)))</formula>
    </cfRule>
    <cfRule type="containsText" dxfId="153" priority="13" operator="containsText" text="Detect">
      <formula>NOT(ISERROR(SEARCH("Detect",D66)))</formula>
    </cfRule>
    <cfRule type="containsText" dxfId="152" priority="14" operator="containsText" text="Identify">
      <formula>NOT(ISERROR(SEARCH("Identify",D66)))</formula>
    </cfRule>
    <cfRule type="containsText" dxfId="151" priority="15" operator="containsText" text="Identity">
      <formula>NOT(ISERROR(SEARCH("Identity",D66)))</formula>
    </cfRule>
  </conditionalFormatting>
  <conditionalFormatting sqref="D76 D73:D74">
    <cfRule type="containsText" dxfId="150" priority="6" operator="containsText" text="Protect">
      <formula>NOT(ISERROR(SEARCH("Protect",D73)))</formula>
    </cfRule>
    <cfRule type="containsText" dxfId="149" priority="7" operator="containsText" text="Respond">
      <formula>NOT(ISERROR(SEARCH("Respond",D73)))</formula>
    </cfRule>
    <cfRule type="containsText" dxfId="148" priority="8" operator="containsText" text="Detect">
      <formula>NOT(ISERROR(SEARCH("Detect",D73)))</formula>
    </cfRule>
    <cfRule type="containsText" dxfId="147" priority="9" operator="containsText" text="Identify">
      <formula>NOT(ISERROR(SEARCH("Identify",D73)))</formula>
    </cfRule>
    <cfRule type="containsText" dxfId="146" priority="10" operator="containsText" text="Identity">
      <formula>NOT(ISERROR(SEARCH("Identity",D73)))</formula>
    </cfRule>
  </conditionalFormatting>
  <conditionalFormatting sqref="D87:D89">
    <cfRule type="containsText" dxfId="145" priority="1" operator="containsText" text="Protect">
      <formula>NOT(ISERROR(SEARCH("Protect",D87)))</formula>
    </cfRule>
    <cfRule type="containsText" dxfId="144" priority="2" operator="containsText" text="Respond">
      <formula>NOT(ISERROR(SEARCH("Respond",D87)))</formula>
    </cfRule>
    <cfRule type="containsText" dxfId="143" priority="3" operator="containsText" text="Detect">
      <formula>NOT(ISERROR(SEARCH("Detect",D87)))</formula>
    </cfRule>
    <cfRule type="containsText" dxfId="142" priority="4" operator="containsText" text="Identify">
      <formula>NOT(ISERROR(SEARCH("Identify",D87)))</formula>
    </cfRule>
    <cfRule type="containsText" dxfId="141" priority="5" operator="containsText" text="Identity">
      <formula>NOT(ISERROR(SEARCH("Identity",D87)))</formula>
    </cfRule>
  </conditionalFormatting>
  <dataValidations count="6">
    <dataValidation type="list" allowBlank="1" showInputMessage="1" showErrorMessage="1" sqref="N34:N89" xr:uid="{66691E44-9098-49FB-9672-D391D86426C6}">
      <formula1>"Accept,Reduce"</formula1>
    </dataValidation>
    <dataValidation type="list" allowBlank="1" showInputMessage="1" showErrorMessage="1" sqref="C21:E26" xr:uid="{255BFD06-57F4-41A8-9D6B-C96727E3148A}">
      <formula1>"1,2,3"</formula1>
    </dataValidation>
    <dataValidation type="list" allowBlank="1" showInputMessage="1" showErrorMessage="1" sqref="AA34:AA89" xr:uid="{49F104B6-797E-4793-B615-04CC6C8639AD}">
      <formula1>"Q1, Q2, Q3, Q4"</formula1>
    </dataValidation>
    <dataValidation type="list" allowBlank="1" showInputMessage="1" showErrorMessage="1" sqref="E34:E89" xr:uid="{10ED2794-E3E4-41C3-A561-5B5F41F5A04D}">
      <formula1>Asset_Class</formula1>
    </dataValidation>
    <dataValidation type="list" allowBlank="1" showInputMessage="1" showErrorMessage="1" sqref="AB34:AB89" xr:uid="{53DFBD89-0FAA-4246-B145-791F8ADBDD6D}">
      <formula1>"2021,2022,2023,2024,2025,2026,2027,2028,2029,2030,2031"</formula1>
    </dataValidation>
    <dataValidation type="list" allowBlank="1" showInputMessage="1" showErrorMessage="1" sqref="F34:F89 S34:S89" xr:uid="{DC47D85D-F032-4312-8AB4-BA67ACC07831}">
      <formula1>Maturity_Score</formula1>
    </dataValidation>
  </dataValidation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D5F3F-A89A-4D60-ADEC-3BEE502A1C3B}">
  <sheetPr codeName="Sheet5">
    <tabColor rgb="FF0070C0"/>
  </sheetPr>
  <dimension ref="B1:K39"/>
  <sheetViews>
    <sheetView showGridLines="0" workbookViewId="0">
      <selection activeCell="B2" sqref="B2:B7"/>
    </sheetView>
  </sheetViews>
  <sheetFormatPr defaultRowHeight="12.75" x14ac:dyDescent="0.2"/>
  <cols>
    <col min="1" max="1" width="9.140625" style="2"/>
    <col min="2" max="2" width="15.140625" style="2" customWidth="1"/>
    <col min="3" max="3" width="28.85546875" style="192" customWidth="1"/>
    <col min="4" max="4" width="76.42578125" style="20" customWidth="1"/>
    <col min="5" max="5" width="9.140625" style="2"/>
    <col min="6" max="6" width="20.42578125" style="2" bestFit="1" customWidth="1"/>
    <col min="7" max="10" width="31.5703125" style="2" customWidth="1"/>
    <col min="11" max="11" width="16.42578125" style="2" customWidth="1"/>
    <col min="12" max="16384" width="9.140625" style="2"/>
  </cols>
  <sheetData>
    <row r="1" spans="2:11" ht="13.5" thickBot="1" x14ac:dyDescent="0.25"/>
    <row r="2" spans="2:11" ht="12.75" customHeight="1" x14ac:dyDescent="0.2">
      <c r="B2" s="278" t="s">
        <v>274</v>
      </c>
      <c r="C2" s="223" t="s">
        <v>280</v>
      </c>
      <c r="D2" s="224" t="s">
        <v>275</v>
      </c>
      <c r="F2" s="275" t="s">
        <v>48</v>
      </c>
      <c r="G2" s="276"/>
      <c r="H2" s="276"/>
      <c r="I2" s="276"/>
      <c r="J2" s="277"/>
    </row>
    <row r="3" spans="2:11" ht="25.5" x14ac:dyDescent="0.2">
      <c r="B3" s="279"/>
      <c r="C3" s="196"/>
      <c r="D3" s="225" t="s">
        <v>393</v>
      </c>
      <c r="F3" s="6" t="s">
        <v>5</v>
      </c>
      <c r="G3" s="7" t="s">
        <v>6</v>
      </c>
      <c r="H3" s="7" t="s">
        <v>153</v>
      </c>
      <c r="I3" s="47" t="s">
        <v>154</v>
      </c>
      <c r="J3" s="7" t="s">
        <v>52</v>
      </c>
    </row>
    <row r="4" spans="2:11" ht="25.5" x14ac:dyDescent="0.2">
      <c r="B4" s="279"/>
      <c r="C4" s="198"/>
      <c r="D4" s="225" t="s">
        <v>392</v>
      </c>
      <c r="F4" s="8" t="s">
        <v>4</v>
      </c>
      <c r="G4" s="53" t="s">
        <v>272</v>
      </c>
      <c r="H4" s="53" t="s">
        <v>272</v>
      </c>
      <c r="I4" s="39" t="s">
        <v>67</v>
      </c>
      <c r="J4" s="53" t="s">
        <v>272</v>
      </c>
    </row>
    <row r="5" spans="2:11" ht="12.75" customHeight="1" x14ac:dyDescent="0.2">
      <c r="B5" s="279"/>
      <c r="C5" s="197"/>
      <c r="D5" s="225" t="s">
        <v>276</v>
      </c>
      <c r="F5" s="9" t="s">
        <v>61</v>
      </c>
      <c r="G5" s="200" t="s">
        <v>56</v>
      </c>
      <c r="H5" s="200" t="s">
        <v>58</v>
      </c>
      <c r="I5" s="201" t="s">
        <v>273</v>
      </c>
      <c r="J5" s="200" t="s">
        <v>64</v>
      </c>
    </row>
    <row r="6" spans="2:11" ht="38.25" x14ac:dyDescent="0.2">
      <c r="B6" s="279"/>
      <c r="C6" s="199"/>
      <c r="D6" s="225" t="s">
        <v>277</v>
      </c>
      <c r="F6" s="9" t="s">
        <v>62</v>
      </c>
      <c r="G6" s="200" t="s">
        <v>57</v>
      </c>
      <c r="H6" s="200" t="s">
        <v>59</v>
      </c>
      <c r="I6" s="201" t="s">
        <v>273</v>
      </c>
      <c r="J6" s="200" t="s">
        <v>65</v>
      </c>
    </row>
    <row r="7" spans="2:11" ht="26.25" thickBot="1" x14ac:dyDescent="0.25">
      <c r="B7" s="280"/>
      <c r="C7" s="226"/>
      <c r="D7" s="227" t="s">
        <v>433</v>
      </c>
      <c r="F7" s="9" t="s">
        <v>63</v>
      </c>
      <c r="G7" s="200" t="s">
        <v>55</v>
      </c>
      <c r="H7" s="200" t="s">
        <v>60</v>
      </c>
      <c r="I7" s="202"/>
      <c r="J7" s="200" t="s">
        <v>66</v>
      </c>
    </row>
    <row r="8" spans="2:11" x14ac:dyDescent="0.2">
      <c r="C8" s="193"/>
    </row>
    <row r="9" spans="2:11" ht="13.5" thickBot="1" x14ac:dyDescent="0.25">
      <c r="C9" s="212" t="s">
        <v>385</v>
      </c>
      <c r="D9" s="212" t="s">
        <v>275</v>
      </c>
      <c r="F9" s="275" t="s">
        <v>69</v>
      </c>
      <c r="G9" s="276"/>
      <c r="H9" s="276"/>
      <c r="I9" s="277"/>
      <c r="J9" s="193"/>
    </row>
    <row r="10" spans="2:11" ht="12.75" customHeight="1" x14ac:dyDescent="0.2">
      <c r="B10" s="272" t="s">
        <v>267</v>
      </c>
      <c r="C10" s="213" t="s">
        <v>168</v>
      </c>
      <c r="D10" s="214" t="s">
        <v>394</v>
      </c>
      <c r="F10" s="6" t="s">
        <v>51</v>
      </c>
      <c r="G10" s="7" t="s">
        <v>46</v>
      </c>
      <c r="H10" s="7" t="s">
        <v>155</v>
      </c>
      <c r="I10" s="7" t="s">
        <v>47</v>
      </c>
      <c r="J10" s="193"/>
    </row>
    <row r="11" spans="2:11" x14ac:dyDescent="0.2">
      <c r="B11" s="273"/>
      <c r="C11" s="208" t="s">
        <v>169</v>
      </c>
      <c r="D11" s="215" t="s">
        <v>395</v>
      </c>
      <c r="F11" s="9" t="s">
        <v>151</v>
      </c>
      <c r="G11" s="53" t="s">
        <v>272</v>
      </c>
      <c r="H11" s="53" t="s">
        <v>272</v>
      </c>
      <c r="I11" s="53" t="s">
        <v>272</v>
      </c>
      <c r="J11" s="193"/>
    </row>
    <row r="12" spans="2:11" ht="25.5" x14ac:dyDescent="0.2">
      <c r="B12" s="273"/>
      <c r="C12" s="208" t="s">
        <v>448</v>
      </c>
      <c r="D12" s="215" t="s">
        <v>457</v>
      </c>
      <c r="F12" s="16" t="s">
        <v>147</v>
      </c>
      <c r="G12" s="47" t="s">
        <v>273</v>
      </c>
      <c r="H12" s="47" t="s">
        <v>273</v>
      </c>
      <c r="I12" s="47" t="s">
        <v>273</v>
      </c>
      <c r="J12" s="193"/>
    </row>
    <row r="13" spans="2:11" ht="12.75" customHeight="1" x14ac:dyDescent="0.2">
      <c r="B13" s="273"/>
      <c r="C13" s="208" t="s">
        <v>51</v>
      </c>
      <c r="D13" s="215" t="s">
        <v>396</v>
      </c>
      <c r="F13" s="16" t="s">
        <v>148</v>
      </c>
      <c r="G13" s="47" t="s">
        <v>273</v>
      </c>
      <c r="H13" s="47" t="s">
        <v>273</v>
      </c>
      <c r="I13" s="47" t="s">
        <v>273</v>
      </c>
    </row>
    <row r="14" spans="2:11" ht="25.5" x14ac:dyDescent="0.2">
      <c r="B14" s="273"/>
      <c r="C14" s="209" t="s">
        <v>286</v>
      </c>
      <c r="D14" s="215" t="s">
        <v>420</v>
      </c>
      <c r="F14" s="16" t="s">
        <v>146</v>
      </c>
      <c r="G14" s="47" t="s">
        <v>273</v>
      </c>
      <c r="H14" s="47" t="s">
        <v>273</v>
      </c>
      <c r="I14" s="47" t="s">
        <v>273</v>
      </c>
    </row>
    <row r="15" spans="2:11" ht="25.5" x14ac:dyDescent="0.2">
      <c r="B15" s="273"/>
      <c r="C15" s="208" t="s">
        <v>49</v>
      </c>
      <c r="D15" s="215" t="s">
        <v>397</v>
      </c>
      <c r="F15" s="16" t="s">
        <v>149</v>
      </c>
      <c r="G15" s="47" t="s">
        <v>273</v>
      </c>
      <c r="H15" s="47" t="s">
        <v>273</v>
      </c>
      <c r="I15" s="47" t="s">
        <v>273</v>
      </c>
      <c r="K15" s="193"/>
    </row>
    <row r="16" spans="2:11" ht="25.5" x14ac:dyDescent="0.2">
      <c r="B16" s="273"/>
      <c r="C16" s="208" t="s">
        <v>424</v>
      </c>
      <c r="D16" s="215" t="s">
        <v>398</v>
      </c>
      <c r="F16" s="16" t="s">
        <v>150</v>
      </c>
      <c r="G16" s="47" t="s">
        <v>273</v>
      </c>
      <c r="H16" s="47" t="s">
        <v>273</v>
      </c>
      <c r="I16" s="47" t="s">
        <v>273</v>
      </c>
      <c r="K16" s="193"/>
    </row>
    <row r="17" spans="2:11" ht="12.75" customHeight="1" x14ac:dyDescent="0.2">
      <c r="B17" s="273"/>
      <c r="C17" s="208" t="s">
        <v>0</v>
      </c>
      <c r="D17" s="215" t="s">
        <v>399</v>
      </c>
      <c r="K17" s="193"/>
    </row>
    <row r="18" spans="2:11" ht="25.5" x14ac:dyDescent="0.2">
      <c r="B18" s="273"/>
      <c r="C18" s="208" t="s">
        <v>156</v>
      </c>
      <c r="D18" s="215" t="s">
        <v>400</v>
      </c>
      <c r="K18" s="193"/>
    </row>
    <row r="19" spans="2:11" ht="12.75" customHeight="1" x14ac:dyDescent="0.2">
      <c r="B19" s="273"/>
      <c r="C19" s="208" t="s">
        <v>1</v>
      </c>
      <c r="D19" s="215" t="s">
        <v>401</v>
      </c>
      <c r="K19" s="193"/>
    </row>
    <row r="20" spans="2:11" ht="13.5" customHeight="1" x14ac:dyDescent="0.2">
      <c r="B20" s="273"/>
      <c r="C20" s="208" t="s">
        <v>2</v>
      </c>
      <c r="D20" s="215" t="s">
        <v>446</v>
      </c>
      <c r="K20" s="193"/>
    </row>
    <row r="21" spans="2:11" ht="12.75" customHeight="1" thickBot="1" x14ac:dyDescent="0.25">
      <c r="B21" s="274"/>
      <c r="C21" s="216" t="s">
        <v>3</v>
      </c>
      <c r="D21" s="217" t="s">
        <v>402</v>
      </c>
      <c r="F21" s="281" t="s">
        <v>439</v>
      </c>
      <c r="G21" s="281"/>
      <c r="K21" s="193"/>
    </row>
    <row r="22" spans="2:11" ht="12.75" customHeight="1" x14ac:dyDescent="0.2">
      <c r="B22" s="272" t="s">
        <v>265</v>
      </c>
      <c r="C22" s="218" t="s">
        <v>293</v>
      </c>
      <c r="D22" s="214" t="s">
        <v>403</v>
      </c>
      <c r="F22" s="229" t="s">
        <v>440</v>
      </c>
      <c r="G22" s="230" t="s">
        <v>441</v>
      </c>
    </row>
    <row r="23" spans="2:11" ht="25.5" x14ac:dyDescent="0.2">
      <c r="B23" s="273"/>
      <c r="C23" s="210" t="s">
        <v>70</v>
      </c>
      <c r="D23" s="215" t="s">
        <v>394</v>
      </c>
      <c r="F23" s="231" t="s">
        <v>442</v>
      </c>
      <c r="G23" s="228" t="s">
        <v>443</v>
      </c>
    </row>
    <row r="24" spans="2:11" ht="25.5" x14ac:dyDescent="0.2">
      <c r="B24" s="273"/>
      <c r="C24" s="210" t="s">
        <v>270</v>
      </c>
      <c r="D24" s="215" t="s">
        <v>395</v>
      </c>
      <c r="F24" s="232" t="s">
        <v>444</v>
      </c>
      <c r="G24" s="228" t="s">
        <v>445</v>
      </c>
    </row>
    <row r="25" spans="2:11" ht="25.5" x14ac:dyDescent="0.2">
      <c r="B25" s="273"/>
      <c r="C25" s="210" t="s">
        <v>271</v>
      </c>
      <c r="D25" s="215" t="s">
        <v>404</v>
      </c>
    </row>
    <row r="26" spans="2:11" ht="25.5" x14ac:dyDescent="0.2">
      <c r="B26" s="273"/>
      <c r="C26" s="211" t="s">
        <v>171</v>
      </c>
      <c r="D26" s="215" t="s">
        <v>405</v>
      </c>
    </row>
    <row r="27" spans="2:11" ht="25.5" x14ac:dyDescent="0.2">
      <c r="B27" s="273"/>
      <c r="C27" s="209" t="s">
        <v>287</v>
      </c>
      <c r="D27" s="215" t="s">
        <v>421</v>
      </c>
    </row>
    <row r="28" spans="2:11" ht="25.5" x14ac:dyDescent="0.2">
      <c r="B28" s="273"/>
      <c r="C28" s="210" t="s">
        <v>437</v>
      </c>
      <c r="D28" s="215" t="s">
        <v>406</v>
      </c>
    </row>
    <row r="29" spans="2:11" ht="25.5" x14ac:dyDescent="0.2">
      <c r="B29" s="273"/>
      <c r="C29" s="210" t="s">
        <v>76</v>
      </c>
      <c r="D29" s="215" t="s">
        <v>399</v>
      </c>
    </row>
    <row r="30" spans="2:11" ht="38.25" x14ac:dyDescent="0.2">
      <c r="B30" s="273"/>
      <c r="C30" s="210" t="s">
        <v>157</v>
      </c>
      <c r="D30" s="215" t="s">
        <v>400</v>
      </c>
    </row>
    <row r="31" spans="2:11" ht="25.5" x14ac:dyDescent="0.2">
      <c r="B31" s="273"/>
      <c r="C31" s="210" t="s">
        <v>77</v>
      </c>
      <c r="D31" s="215" t="s">
        <v>401</v>
      </c>
    </row>
    <row r="32" spans="2:11" ht="12.75" customHeight="1" x14ac:dyDescent="0.2">
      <c r="B32" s="273"/>
      <c r="C32" s="210" t="s">
        <v>79</v>
      </c>
      <c r="D32" s="215" t="s">
        <v>447</v>
      </c>
    </row>
    <row r="33" spans="2:4" ht="12.75" customHeight="1" x14ac:dyDescent="0.2">
      <c r="B33" s="273"/>
      <c r="C33" s="210" t="s">
        <v>266</v>
      </c>
      <c r="D33" s="215" t="s">
        <v>407</v>
      </c>
    </row>
    <row r="34" spans="2:4" ht="12.75" customHeight="1" x14ac:dyDescent="0.2">
      <c r="B34" s="273"/>
      <c r="C34" s="211" t="s">
        <v>78</v>
      </c>
      <c r="D34" s="215" t="s">
        <v>408</v>
      </c>
    </row>
    <row r="35" spans="2:4" ht="13.5" customHeight="1" x14ac:dyDescent="0.2">
      <c r="B35" s="273"/>
      <c r="C35" s="211" t="s">
        <v>163</v>
      </c>
      <c r="D35" s="215" t="s">
        <v>409</v>
      </c>
    </row>
    <row r="36" spans="2:4" ht="13.5" customHeight="1" thickBot="1" x14ac:dyDescent="0.25">
      <c r="B36" s="274"/>
      <c r="C36" s="219" t="s">
        <v>71</v>
      </c>
      <c r="D36" s="217" t="s">
        <v>410</v>
      </c>
    </row>
    <row r="37" spans="2:4" ht="31.5" customHeight="1" x14ac:dyDescent="0.2">
      <c r="B37" s="272" t="s">
        <v>427</v>
      </c>
      <c r="C37" s="236" t="s">
        <v>158</v>
      </c>
      <c r="D37" s="220" t="s">
        <v>434</v>
      </c>
    </row>
    <row r="38" spans="2:4" ht="13.5" customHeight="1" x14ac:dyDescent="0.2">
      <c r="B38" s="273"/>
      <c r="C38" s="237" t="s">
        <v>72</v>
      </c>
      <c r="D38" s="221" t="s">
        <v>435</v>
      </c>
    </row>
    <row r="39" spans="2:4" ht="27" customHeight="1" thickBot="1" x14ac:dyDescent="0.25">
      <c r="B39" s="274"/>
      <c r="C39" s="238" t="s">
        <v>73</v>
      </c>
      <c r="D39" s="222" t="s">
        <v>436</v>
      </c>
    </row>
  </sheetData>
  <sheetProtection sheet="1" objects="1" scenarios="1"/>
  <mergeCells count="7">
    <mergeCell ref="B22:B36"/>
    <mergeCell ref="B37:B39"/>
    <mergeCell ref="F2:J2"/>
    <mergeCell ref="F9:I9"/>
    <mergeCell ref="B2:B7"/>
    <mergeCell ref="F21:G21"/>
    <mergeCell ref="B10:B21"/>
  </mergeCells>
  <pageMargins left="0.7" right="0.7" top="0.75" bottom="0.75" header="0.3" footer="0.3"/>
  <pageSetup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21100-E161-4811-8D8E-DF07EF73F8B4}">
  <sheetPr codeName="Sheet6">
    <tabColor rgb="FF0070C0"/>
  </sheetPr>
  <dimension ref="B2:E72"/>
  <sheetViews>
    <sheetView showGridLines="0" zoomScale="104" workbookViewId="0">
      <selection activeCell="B2" sqref="B2"/>
    </sheetView>
  </sheetViews>
  <sheetFormatPr defaultColWidth="9.140625" defaultRowHeight="12.75" x14ac:dyDescent="0.2"/>
  <cols>
    <col min="1" max="1" width="9.140625" style="2"/>
    <col min="2" max="2" width="27.28515625" style="2" bestFit="1" customWidth="1"/>
    <col min="3" max="3" width="80.42578125" style="2" bestFit="1" customWidth="1"/>
    <col min="4" max="5" width="34.5703125" style="2" customWidth="1"/>
    <col min="6" max="6" width="15.42578125" style="2" bestFit="1" customWidth="1"/>
    <col min="7" max="7" width="17.5703125" style="2" bestFit="1" customWidth="1"/>
    <col min="8" max="8" width="18.42578125" style="2" bestFit="1" customWidth="1"/>
    <col min="9" max="16384" width="9.140625" style="2"/>
  </cols>
  <sheetData>
    <row r="2" spans="2:5" ht="10.5" customHeight="1" x14ac:dyDescent="0.2">
      <c r="B2" s="31"/>
      <c r="C2" s="31"/>
      <c r="D2" s="31"/>
      <c r="E2" s="31"/>
    </row>
    <row r="4" spans="2:5" x14ac:dyDescent="0.2">
      <c r="B4" s="50" t="s">
        <v>292</v>
      </c>
      <c r="C4" s="51" t="s">
        <v>288</v>
      </c>
    </row>
    <row r="6" spans="2:5" x14ac:dyDescent="0.2">
      <c r="B6" s="13" t="s">
        <v>292</v>
      </c>
      <c r="C6" s="13" t="s">
        <v>4</v>
      </c>
    </row>
    <row r="7" spans="2:5" x14ac:dyDescent="0.2">
      <c r="B7" s="13">
        <v>1</v>
      </c>
      <c r="C7" s="17" t="s">
        <v>165</v>
      </c>
    </row>
    <row r="8" spans="2:5" x14ac:dyDescent="0.2">
      <c r="B8" s="13">
        <v>2</v>
      </c>
      <c r="C8" s="17" t="s">
        <v>166</v>
      </c>
    </row>
    <row r="9" spans="2:5" x14ac:dyDescent="0.2">
      <c r="B9" s="13">
        <v>3</v>
      </c>
      <c r="C9" s="17" t="s">
        <v>167</v>
      </c>
    </row>
    <row r="10" spans="2:5" x14ac:dyDescent="0.2">
      <c r="B10" s="13">
        <v>4</v>
      </c>
      <c r="C10" s="17" t="s">
        <v>294</v>
      </c>
    </row>
    <row r="11" spans="2:5" x14ac:dyDescent="0.2">
      <c r="B11" s="13">
        <v>5</v>
      </c>
      <c r="C11" s="17" t="s">
        <v>295</v>
      </c>
    </row>
    <row r="12" spans="2:5" x14ac:dyDescent="0.2">
      <c r="B12" s="13"/>
      <c r="C12" s="17"/>
    </row>
    <row r="13" spans="2:5" ht="10.5" customHeight="1" x14ac:dyDescent="0.2">
      <c r="B13" s="31"/>
      <c r="C13" s="31"/>
      <c r="D13" s="31"/>
      <c r="E13" s="31"/>
    </row>
    <row r="14" spans="2:5" x14ac:dyDescent="0.2">
      <c r="B14" s="13"/>
      <c r="C14" s="17"/>
    </row>
    <row r="15" spans="2:5" x14ac:dyDescent="0.2">
      <c r="B15" s="50" t="s">
        <v>438</v>
      </c>
      <c r="C15" s="51" t="s">
        <v>428</v>
      </c>
    </row>
    <row r="17" spans="2:5" x14ac:dyDescent="0.2">
      <c r="B17" s="13" t="s">
        <v>429</v>
      </c>
      <c r="C17" s="13" t="s">
        <v>430</v>
      </c>
    </row>
    <row r="18" spans="2:5" x14ac:dyDescent="0.2">
      <c r="B18" s="13">
        <v>1</v>
      </c>
      <c r="C18" s="17" t="s">
        <v>411</v>
      </c>
    </row>
    <row r="19" spans="2:5" x14ac:dyDescent="0.2">
      <c r="B19" s="13">
        <v>2</v>
      </c>
      <c r="C19" s="17" t="s">
        <v>80</v>
      </c>
    </row>
    <row r="20" spans="2:5" x14ac:dyDescent="0.2">
      <c r="B20" s="13">
        <v>3</v>
      </c>
      <c r="C20" s="17" t="s">
        <v>81</v>
      </c>
    </row>
    <row r="22" spans="2:5" ht="10.5" customHeight="1" x14ac:dyDescent="0.2">
      <c r="B22" s="31"/>
      <c r="C22" s="31"/>
      <c r="D22" s="31"/>
      <c r="E22" s="31"/>
    </row>
    <row r="24" spans="2:5" x14ac:dyDescent="0.2">
      <c r="B24" s="50" t="s">
        <v>9</v>
      </c>
      <c r="C24" s="51" t="s">
        <v>278</v>
      </c>
    </row>
    <row r="26" spans="2:5" x14ac:dyDescent="0.2">
      <c r="B26" s="192" t="s">
        <v>7</v>
      </c>
      <c r="C26" s="192" t="s">
        <v>9</v>
      </c>
    </row>
    <row r="27" spans="2:5" x14ac:dyDescent="0.2">
      <c r="B27" s="192" t="s">
        <v>8</v>
      </c>
      <c r="C27" s="14" t="s">
        <v>10</v>
      </c>
    </row>
    <row r="29" spans="2:5" ht="10.5" customHeight="1" x14ac:dyDescent="0.2">
      <c r="B29" s="31"/>
      <c r="C29" s="31"/>
      <c r="D29" s="31"/>
      <c r="E29" s="31"/>
    </row>
    <row r="31" spans="2:5" x14ac:dyDescent="0.2">
      <c r="B31" s="50" t="s">
        <v>49</v>
      </c>
      <c r="C31" s="51" t="s">
        <v>279</v>
      </c>
    </row>
    <row r="33" spans="2:5" x14ac:dyDescent="0.2">
      <c r="B33" s="32" t="s">
        <v>159</v>
      </c>
      <c r="C33" s="36">
        <v>8893</v>
      </c>
      <c r="D33" s="32" t="s">
        <v>160</v>
      </c>
      <c r="E33" s="35">
        <v>44406</v>
      </c>
    </row>
    <row r="34" spans="2:5" x14ac:dyDescent="0.2">
      <c r="B34" s="13" t="s">
        <v>51</v>
      </c>
      <c r="C34" s="13" t="s">
        <v>11</v>
      </c>
      <c r="D34" s="13" t="s">
        <v>12</v>
      </c>
      <c r="E34" s="13" t="s">
        <v>14</v>
      </c>
    </row>
    <row r="35" spans="2:5" x14ac:dyDescent="0.2">
      <c r="B35" s="17" t="s">
        <v>151</v>
      </c>
      <c r="C35" s="13">
        <f>MAX(C36:C41)</f>
        <v>4458</v>
      </c>
      <c r="D35" s="41">
        <f>tblVCDBIndex[[#This Row],[Sum of Threat Count / Industry]]/$C$33</f>
        <v>0.50129315191723822</v>
      </c>
      <c r="E35" s="42">
        <f>IF(tblVCDBIndex[[#This Row],[Percentage]]&gt;=0.5,3,IF(tblVCDBIndex[[#This Row],[Percentage]]&gt;=0.1,2,1))</f>
        <v>3</v>
      </c>
    </row>
    <row r="36" spans="2:5" x14ac:dyDescent="0.2">
      <c r="B36" s="2" t="s">
        <v>148</v>
      </c>
      <c r="C36" s="13">
        <v>1253</v>
      </c>
      <c r="D36" s="33">
        <f>tblVCDBIndex[[#This Row],[Sum of Threat Count / Industry]]/$C$33</f>
        <v>0.14089733498257057</v>
      </c>
      <c r="E36" s="13">
        <f>IF(tblVCDBIndex[[#This Row],[Percentage]]&gt;=0.5,3,IF(tblVCDBIndex[[#This Row],[Percentage]]&gt;=0.1,2,1))</f>
        <v>2</v>
      </c>
    </row>
    <row r="37" spans="2:5" x14ac:dyDescent="0.2">
      <c r="B37" s="2" t="s">
        <v>146</v>
      </c>
      <c r="C37" s="13">
        <v>4458</v>
      </c>
      <c r="D37" s="33">
        <f>tblVCDBIndex[[#This Row],[Sum of Threat Count / Industry]]/$C$33</f>
        <v>0.50129315191723822</v>
      </c>
      <c r="E37" s="13">
        <f>IF(tblVCDBIndex[[#This Row],[Percentage]]&gt;=0.5,3,IF(tblVCDBIndex[[#This Row],[Percentage]]&gt;=0.1,2,1))</f>
        <v>3</v>
      </c>
    </row>
    <row r="38" spans="2:5" x14ac:dyDescent="0.2">
      <c r="B38" s="2" t="s">
        <v>147</v>
      </c>
      <c r="C38" s="13">
        <v>798</v>
      </c>
      <c r="D38" s="33">
        <f>tblVCDBIndex[[#This Row],[Sum of Threat Count / Industry]]/$C$33</f>
        <v>8.9733498257056107E-2</v>
      </c>
      <c r="E38" s="13">
        <f>IF(tblVCDBIndex[[#This Row],[Percentage]]&gt;=0.5,3,IF(tblVCDBIndex[[#This Row],[Percentage]]&gt;=0.1,2,1))</f>
        <v>1</v>
      </c>
    </row>
    <row r="39" spans="2:5" x14ac:dyDescent="0.2">
      <c r="B39" s="2" t="s">
        <v>149</v>
      </c>
      <c r="C39" s="13">
        <v>62</v>
      </c>
      <c r="D39" s="33">
        <f>tblVCDBIndex[[#This Row],[Sum of Threat Count / Industry]]/$C$33</f>
        <v>6.9717755538063649E-3</v>
      </c>
      <c r="E39" s="13">
        <f>IF(tblVCDBIndex[[#This Row],[Percentage]]&gt;=0.5,3,IF(tblVCDBIndex[[#This Row],[Percentage]]&gt;=0.1,2,1))</f>
        <v>1</v>
      </c>
    </row>
    <row r="40" spans="2:5" x14ac:dyDescent="0.2">
      <c r="B40" s="2" t="s">
        <v>150</v>
      </c>
      <c r="C40" s="13">
        <v>4458</v>
      </c>
      <c r="D40" s="33">
        <f>tblVCDBIndex[[#This Row],[Sum of Threat Count / Industry]]/$C$33</f>
        <v>0.50129315191723822</v>
      </c>
      <c r="E40" s="13">
        <f>IF(tblVCDBIndex[[#This Row],[Percentage]]&gt;=0.5,3,IF(tblVCDBIndex[[#This Row],[Percentage]]&gt;=0.1,2,1))</f>
        <v>3</v>
      </c>
    </row>
    <row r="41" spans="2:5" x14ac:dyDescent="0.2">
      <c r="B41" s="2" t="s">
        <v>162</v>
      </c>
      <c r="C41" s="13">
        <v>863</v>
      </c>
      <c r="D41" s="33">
        <f>tblVCDBIndex[[#This Row],[Sum of Threat Count / Industry]]/$C$33</f>
        <v>9.7042617789272465E-2</v>
      </c>
      <c r="E41" s="13">
        <f>IF(tblVCDBIndex[[#This Row],[Percentage]]&gt;=0.5,3,IF(tblVCDBIndex[[#This Row],[Percentage]]&gt;=0.1,2,1))</f>
        <v>1</v>
      </c>
    </row>
    <row r="43" spans="2:5" x14ac:dyDescent="0.2">
      <c r="B43" s="31"/>
      <c r="C43" s="31"/>
      <c r="D43" s="31"/>
      <c r="E43" s="31"/>
    </row>
    <row r="45" spans="2:5" x14ac:dyDescent="0.2">
      <c r="B45" s="50" t="s">
        <v>50</v>
      </c>
      <c r="C45" s="51" t="s">
        <v>431</v>
      </c>
    </row>
    <row r="47" spans="2:5" ht="10.5" customHeight="1" x14ac:dyDescent="0.2">
      <c r="B47" s="13" t="s">
        <v>161</v>
      </c>
      <c r="C47" s="13" t="s">
        <v>13</v>
      </c>
      <c r="D47" s="13" t="s">
        <v>49</v>
      </c>
      <c r="E47" s="13" t="s">
        <v>432</v>
      </c>
    </row>
    <row r="48" spans="2:5" x14ac:dyDescent="0.2">
      <c r="B48" s="13">
        <v>51</v>
      </c>
      <c r="C48" s="13">
        <v>5</v>
      </c>
      <c r="D48" s="13">
        <v>1</v>
      </c>
      <c r="E48" s="13">
        <v>1</v>
      </c>
    </row>
    <row r="49" spans="2:5" x14ac:dyDescent="0.2">
      <c r="B49" s="13">
        <v>52</v>
      </c>
      <c r="C49" s="13">
        <v>5</v>
      </c>
      <c r="D49" s="13">
        <v>2</v>
      </c>
      <c r="E49" s="13">
        <v>1</v>
      </c>
    </row>
    <row r="50" spans="2:5" x14ac:dyDescent="0.2">
      <c r="B50" s="13">
        <v>53</v>
      </c>
      <c r="C50" s="13">
        <v>5</v>
      </c>
      <c r="D50" s="13">
        <v>3</v>
      </c>
      <c r="E50" s="13">
        <v>1</v>
      </c>
    </row>
    <row r="51" spans="2:5" x14ac:dyDescent="0.2">
      <c r="B51" s="13">
        <v>54</v>
      </c>
      <c r="C51" s="13">
        <v>5</v>
      </c>
      <c r="D51" s="13">
        <v>4</v>
      </c>
      <c r="E51" s="13">
        <v>1</v>
      </c>
    </row>
    <row r="52" spans="2:5" x14ac:dyDescent="0.2">
      <c r="B52" s="13">
        <v>55</v>
      </c>
      <c r="C52" s="13">
        <v>5</v>
      </c>
      <c r="D52" s="13">
        <v>5</v>
      </c>
      <c r="E52" s="13">
        <v>2</v>
      </c>
    </row>
    <row r="53" spans="2:5" x14ac:dyDescent="0.2">
      <c r="B53" s="13">
        <v>41</v>
      </c>
      <c r="C53" s="13">
        <v>4</v>
      </c>
      <c r="D53" s="13">
        <v>1</v>
      </c>
      <c r="E53" s="13">
        <v>1</v>
      </c>
    </row>
    <row r="54" spans="2:5" x14ac:dyDescent="0.2">
      <c r="B54" s="13">
        <v>42</v>
      </c>
      <c r="C54" s="13">
        <v>4</v>
      </c>
      <c r="D54" s="13">
        <v>2</v>
      </c>
      <c r="E54" s="13">
        <v>1</v>
      </c>
    </row>
    <row r="55" spans="2:5" x14ac:dyDescent="0.2">
      <c r="B55" s="13">
        <v>43</v>
      </c>
      <c r="C55" s="13">
        <v>4</v>
      </c>
      <c r="D55" s="13">
        <v>3</v>
      </c>
      <c r="E55" s="13">
        <v>2</v>
      </c>
    </row>
    <row r="56" spans="2:5" x14ac:dyDescent="0.2">
      <c r="B56" s="13">
        <v>44</v>
      </c>
      <c r="C56" s="13">
        <v>4</v>
      </c>
      <c r="D56" s="13">
        <v>4</v>
      </c>
      <c r="E56" s="13">
        <v>2</v>
      </c>
    </row>
    <row r="57" spans="2:5" x14ac:dyDescent="0.2">
      <c r="B57" s="13">
        <v>45</v>
      </c>
      <c r="C57" s="13">
        <v>4</v>
      </c>
      <c r="D57" s="13">
        <v>5</v>
      </c>
      <c r="E57" s="13">
        <v>2</v>
      </c>
    </row>
    <row r="58" spans="2:5" x14ac:dyDescent="0.2">
      <c r="B58" s="13">
        <v>31</v>
      </c>
      <c r="C58" s="13">
        <v>3</v>
      </c>
      <c r="D58" s="13">
        <v>1</v>
      </c>
      <c r="E58" s="13">
        <v>2</v>
      </c>
    </row>
    <row r="59" spans="2:5" x14ac:dyDescent="0.2">
      <c r="B59" s="13">
        <v>32</v>
      </c>
      <c r="C59" s="13">
        <v>3</v>
      </c>
      <c r="D59" s="13">
        <v>2</v>
      </c>
      <c r="E59" s="13">
        <v>2</v>
      </c>
    </row>
    <row r="60" spans="2:5" x14ac:dyDescent="0.2">
      <c r="B60" s="13">
        <v>33</v>
      </c>
      <c r="C60" s="13">
        <v>3</v>
      </c>
      <c r="D60" s="13">
        <v>3</v>
      </c>
      <c r="E60" s="13">
        <v>2</v>
      </c>
    </row>
    <row r="61" spans="2:5" x14ac:dyDescent="0.2">
      <c r="B61" s="13">
        <v>34</v>
      </c>
      <c r="C61" s="13">
        <v>3</v>
      </c>
      <c r="D61" s="13">
        <v>4</v>
      </c>
      <c r="E61" s="13">
        <v>3</v>
      </c>
    </row>
    <row r="62" spans="2:5" x14ac:dyDescent="0.2">
      <c r="B62" s="13">
        <v>35</v>
      </c>
      <c r="C62" s="13">
        <v>3</v>
      </c>
      <c r="D62" s="13">
        <v>5</v>
      </c>
      <c r="E62" s="13">
        <v>3</v>
      </c>
    </row>
    <row r="63" spans="2:5" x14ac:dyDescent="0.2">
      <c r="B63" s="13">
        <v>21</v>
      </c>
      <c r="C63" s="13">
        <v>2</v>
      </c>
      <c r="D63" s="13">
        <v>1</v>
      </c>
      <c r="E63" s="13">
        <v>2</v>
      </c>
    </row>
    <row r="64" spans="2:5" x14ac:dyDescent="0.2">
      <c r="B64" s="13">
        <v>22</v>
      </c>
      <c r="C64" s="13">
        <v>2</v>
      </c>
      <c r="D64" s="13">
        <v>2</v>
      </c>
      <c r="E64" s="13">
        <v>2</v>
      </c>
    </row>
    <row r="65" spans="2:5" x14ac:dyDescent="0.2">
      <c r="B65" s="13">
        <v>23</v>
      </c>
      <c r="C65" s="13">
        <v>2</v>
      </c>
      <c r="D65" s="13">
        <v>3</v>
      </c>
      <c r="E65" s="13">
        <v>2</v>
      </c>
    </row>
    <row r="66" spans="2:5" x14ac:dyDescent="0.2">
      <c r="B66" s="13">
        <v>24</v>
      </c>
      <c r="C66" s="13">
        <v>2</v>
      </c>
      <c r="D66" s="13">
        <v>4</v>
      </c>
      <c r="E66" s="13">
        <v>3</v>
      </c>
    </row>
    <row r="67" spans="2:5" x14ac:dyDescent="0.2">
      <c r="B67" s="13">
        <v>25</v>
      </c>
      <c r="C67" s="13">
        <v>2</v>
      </c>
      <c r="D67" s="13">
        <v>5</v>
      </c>
      <c r="E67" s="13">
        <v>3</v>
      </c>
    </row>
    <row r="68" spans="2:5" x14ac:dyDescent="0.2">
      <c r="B68" s="13">
        <v>11</v>
      </c>
      <c r="C68" s="13">
        <v>1</v>
      </c>
      <c r="D68" s="13">
        <v>1</v>
      </c>
      <c r="E68" s="13">
        <v>2</v>
      </c>
    </row>
    <row r="69" spans="2:5" x14ac:dyDescent="0.2">
      <c r="B69" s="13">
        <v>12</v>
      </c>
      <c r="C69" s="13">
        <v>1</v>
      </c>
      <c r="D69" s="13">
        <v>2</v>
      </c>
      <c r="E69" s="13">
        <v>3</v>
      </c>
    </row>
    <row r="70" spans="2:5" x14ac:dyDescent="0.2">
      <c r="B70" s="13">
        <v>13</v>
      </c>
      <c r="C70" s="13">
        <v>1</v>
      </c>
      <c r="D70" s="13">
        <v>3</v>
      </c>
      <c r="E70" s="13">
        <v>3</v>
      </c>
    </row>
    <row r="71" spans="2:5" x14ac:dyDescent="0.2">
      <c r="B71" s="13">
        <v>14</v>
      </c>
      <c r="C71" s="13">
        <v>1</v>
      </c>
      <c r="D71" s="13">
        <v>4</v>
      </c>
      <c r="E71" s="13">
        <v>3</v>
      </c>
    </row>
    <row r="72" spans="2:5" x14ac:dyDescent="0.2">
      <c r="B72" s="13">
        <v>15</v>
      </c>
      <c r="C72" s="13">
        <v>1</v>
      </c>
      <c r="D72" s="13">
        <v>5</v>
      </c>
      <c r="E72" s="13">
        <v>3</v>
      </c>
    </row>
  </sheetData>
  <sheetProtection sheet="1" objects="1" scenarios="1"/>
  <pageMargins left="0.7" right="0.7" top="0.75" bottom="0.75" header="0.3" footer="0.3"/>
  <pageSetup orientation="portrait"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D2131-05C4-47FE-B3D6-3B7C12F8E9C4}">
  <sheetPr codeName="Sheet7">
    <tabColor rgb="FFA391F1"/>
  </sheetPr>
  <dimension ref="B1:U60"/>
  <sheetViews>
    <sheetView showGridLines="0" workbookViewId="0">
      <selection activeCell="B1" sqref="B1:J1"/>
    </sheetView>
  </sheetViews>
  <sheetFormatPr defaultColWidth="9.140625" defaultRowHeight="12.75" x14ac:dyDescent="0.2"/>
  <cols>
    <col min="1" max="1" width="5.28515625" style="86" customWidth="1"/>
    <col min="2" max="2" width="18.7109375" style="88" customWidth="1"/>
    <col min="3" max="3" width="15.5703125" style="89" customWidth="1"/>
    <col min="4" max="4" width="17.7109375" style="89" customWidth="1"/>
    <col min="5" max="5" width="20" style="89" customWidth="1"/>
    <col min="6" max="6" width="5.85546875" style="86" customWidth="1"/>
    <col min="7" max="7" width="17.7109375" style="138" customWidth="1"/>
    <col min="8" max="9" width="15.7109375" style="89" customWidth="1"/>
    <col min="10" max="10" width="16.7109375" style="89" customWidth="1"/>
    <col min="11" max="11" width="9.140625" style="86"/>
    <col min="12" max="12" width="97.140625" style="86" customWidth="1"/>
    <col min="13" max="13" width="9.140625" style="86"/>
    <col min="14" max="14" width="17.140625" style="86" customWidth="1"/>
    <col min="15" max="15" width="72.42578125" style="86" customWidth="1"/>
    <col min="16" max="16384" width="9.140625" style="86"/>
  </cols>
  <sheetData>
    <row r="1" spans="2:21" ht="57" customHeight="1" thickBot="1" x14ac:dyDescent="0.4">
      <c r="B1" s="282" t="s">
        <v>355</v>
      </c>
      <c r="C1" s="283"/>
      <c r="D1" s="283"/>
      <c r="E1" s="283"/>
      <c r="F1" s="283"/>
      <c r="G1" s="283"/>
      <c r="H1" s="283"/>
      <c r="I1" s="283"/>
      <c r="J1" s="284"/>
      <c r="L1" s="87" t="s">
        <v>358</v>
      </c>
      <c r="M1" s="137"/>
      <c r="N1" s="285" t="s">
        <v>360</v>
      </c>
      <c r="O1" s="286"/>
      <c r="P1" s="137"/>
      <c r="Q1" s="137"/>
      <c r="R1" s="137"/>
      <c r="S1" s="137"/>
      <c r="T1" s="137"/>
      <c r="U1" s="137"/>
    </row>
    <row r="2" spans="2:21" ht="13.5" thickBot="1" x14ac:dyDescent="0.25">
      <c r="L2" s="90"/>
    </row>
    <row r="3" spans="2:21" ht="26.25" customHeight="1" thickBot="1" x14ac:dyDescent="0.25">
      <c r="B3" s="287" t="s">
        <v>357</v>
      </c>
      <c r="C3" s="288"/>
      <c r="D3" s="288"/>
      <c r="E3" s="289"/>
      <c r="G3" s="287" t="s">
        <v>356</v>
      </c>
      <c r="H3" s="288"/>
      <c r="I3" s="288"/>
      <c r="J3" s="289"/>
      <c r="L3" s="139" t="s">
        <v>359</v>
      </c>
      <c r="N3" s="91" t="s">
        <v>292</v>
      </c>
      <c r="O3" s="91" t="s">
        <v>4</v>
      </c>
    </row>
    <row r="4" spans="2:21" ht="25.5" customHeight="1" thickTop="1" thickBot="1" x14ac:dyDescent="0.25">
      <c r="B4" s="101" t="s">
        <v>306</v>
      </c>
      <c r="C4" s="140" t="s">
        <v>307</v>
      </c>
      <c r="D4" s="140" t="s">
        <v>308</v>
      </c>
      <c r="E4" s="141" t="s">
        <v>351</v>
      </c>
      <c r="F4" s="102"/>
      <c r="G4" s="101" t="s">
        <v>309</v>
      </c>
      <c r="H4" s="140" t="s">
        <v>307</v>
      </c>
      <c r="I4" s="140" t="s">
        <v>308</v>
      </c>
      <c r="J4" s="141" t="s">
        <v>351</v>
      </c>
      <c r="K4" s="102"/>
      <c r="L4" s="98" t="s">
        <v>366</v>
      </c>
      <c r="M4" s="88"/>
      <c r="N4" s="91">
        <v>1</v>
      </c>
      <c r="O4" s="93" t="s">
        <v>165</v>
      </c>
      <c r="P4" s="88"/>
      <c r="Q4" s="88"/>
      <c r="R4" s="88"/>
      <c r="S4" s="88"/>
      <c r="T4" s="88"/>
      <c r="U4" s="88"/>
    </row>
    <row r="5" spans="2:21" s="102" customFormat="1" ht="15" thickTop="1" x14ac:dyDescent="0.2">
      <c r="B5" s="104">
        <v>1.4</v>
      </c>
      <c r="C5" s="104"/>
      <c r="D5" s="116" t="str">
        <f>LEFT($C5, 1)</f>
        <v/>
      </c>
      <c r="E5" s="107" t="str">
        <f>D5</f>
        <v/>
      </c>
      <c r="F5" s="86"/>
      <c r="G5" s="104">
        <v>1.1000000000000001</v>
      </c>
      <c r="H5" s="104"/>
      <c r="I5" s="116" t="str">
        <f>LEFT($H5, 1)</f>
        <v/>
      </c>
      <c r="J5" s="107" t="str">
        <f>I5</f>
        <v/>
      </c>
      <c r="K5" s="86"/>
      <c r="L5" s="92" t="s">
        <v>367</v>
      </c>
      <c r="M5" s="88"/>
      <c r="N5" s="91">
        <v>2</v>
      </c>
      <c r="O5" s="93" t="s">
        <v>166</v>
      </c>
      <c r="P5" s="88"/>
      <c r="Q5" s="88"/>
      <c r="R5" s="88"/>
      <c r="S5" s="88"/>
      <c r="T5" s="88"/>
      <c r="U5" s="88"/>
    </row>
    <row r="6" spans="2:21" ht="14.25" x14ac:dyDescent="0.2">
      <c r="B6" s="108">
        <v>1.6</v>
      </c>
      <c r="C6" s="108"/>
      <c r="D6" s="117" t="str">
        <f t="shared" ref="D6:D47" si="0">LEFT($C6, 1)</f>
        <v/>
      </c>
      <c r="E6" s="109" t="str">
        <f>D6</f>
        <v/>
      </c>
      <c r="G6" s="108">
        <v>1.2</v>
      </c>
      <c r="H6" s="108"/>
      <c r="I6" s="117" t="str">
        <f t="shared" ref="I6:I60" si="1">LEFT($H6, 1)</f>
        <v/>
      </c>
      <c r="J6" s="109" t="str">
        <f t="shared" ref="J6:J60" si="2">I6</f>
        <v/>
      </c>
      <c r="L6" s="92" t="s">
        <v>368</v>
      </c>
      <c r="M6" s="88"/>
      <c r="N6" s="91">
        <v>3</v>
      </c>
      <c r="O6" s="93" t="s">
        <v>167</v>
      </c>
      <c r="P6" s="88"/>
      <c r="Q6" s="88"/>
      <c r="R6" s="88"/>
      <c r="S6" s="88"/>
      <c r="T6" s="88"/>
      <c r="U6" s="88"/>
    </row>
    <row r="7" spans="2:21" ht="14.25" x14ac:dyDescent="0.2">
      <c r="B7" s="104">
        <v>2.1</v>
      </c>
      <c r="C7" s="104"/>
      <c r="D7" s="116" t="str">
        <f t="shared" si="0"/>
        <v/>
      </c>
      <c r="E7" s="105" t="str">
        <f t="shared" ref="E7:E47" si="3">D7</f>
        <v/>
      </c>
      <c r="G7" s="104">
        <v>2.1</v>
      </c>
      <c r="H7" s="104"/>
      <c r="I7" s="116" t="str">
        <f t="shared" si="1"/>
        <v/>
      </c>
      <c r="J7" s="105" t="str">
        <f t="shared" si="2"/>
        <v/>
      </c>
      <c r="L7" s="92" t="s">
        <v>369</v>
      </c>
      <c r="M7" s="88"/>
      <c r="N7" s="91">
        <v>4</v>
      </c>
      <c r="O7" s="93" t="s">
        <v>294</v>
      </c>
      <c r="P7" s="88"/>
      <c r="Q7" s="88"/>
      <c r="R7" s="88"/>
      <c r="S7" s="88"/>
      <c r="T7" s="88"/>
      <c r="U7" s="88"/>
    </row>
    <row r="8" spans="2:21" ht="15" x14ac:dyDescent="0.2">
      <c r="B8" s="108">
        <v>2.2000000000000002</v>
      </c>
      <c r="C8" s="108"/>
      <c r="D8" s="117" t="str">
        <f t="shared" si="0"/>
        <v/>
      </c>
      <c r="E8" s="109" t="str">
        <f t="shared" si="3"/>
        <v/>
      </c>
      <c r="G8" s="108">
        <v>2.2000000000000002</v>
      </c>
      <c r="H8" s="108"/>
      <c r="I8" s="117" t="str">
        <f t="shared" si="1"/>
        <v/>
      </c>
      <c r="J8" s="109" t="str">
        <f t="shared" si="2"/>
        <v/>
      </c>
      <c r="L8" s="139" t="s">
        <v>370</v>
      </c>
      <c r="M8" s="88"/>
      <c r="N8" s="91">
        <v>5</v>
      </c>
      <c r="O8" s="93" t="s">
        <v>295</v>
      </c>
      <c r="P8" s="88"/>
      <c r="Q8" s="88"/>
      <c r="R8" s="88"/>
      <c r="S8" s="88"/>
      <c r="T8" s="88"/>
      <c r="U8" s="88"/>
    </row>
    <row r="9" spans="2:21" ht="28.5" x14ac:dyDescent="0.2">
      <c r="B9" s="104">
        <v>2.6</v>
      </c>
      <c r="C9" s="104"/>
      <c r="D9" s="116" t="str">
        <f>LEFT($C9, 1)</f>
        <v/>
      </c>
      <c r="E9" s="105" t="str">
        <f t="shared" si="3"/>
        <v/>
      </c>
      <c r="G9" s="104">
        <v>2.2999999999999998</v>
      </c>
      <c r="H9" s="104"/>
      <c r="I9" s="116" t="str">
        <f t="shared" si="1"/>
        <v/>
      </c>
      <c r="J9" s="105" t="str">
        <f>I9</f>
        <v/>
      </c>
      <c r="L9" s="98" t="s">
        <v>371</v>
      </c>
      <c r="M9" s="88"/>
      <c r="N9" s="88"/>
      <c r="O9" s="88"/>
      <c r="P9" s="88"/>
      <c r="Q9" s="88"/>
      <c r="R9" s="88"/>
      <c r="S9" s="88"/>
      <c r="T9" s="88"/>
      <c r="U9" s="88"/>
    </row>
    <row r="10" spans="2:21" ht="15" x14ac:dyDescent="0.2">
      <c r="B10" s="108">
        <v>3.4</v>
      </c>
      <c r="C10" s="108"/>
      <c r="D10" s="117" t="str">
        <f t="shared" si="0"/>
        <v/>
      </c>
      <c r="E10" s="109" t="str">
        <f t="shared" si="3"/>
        <v/>
      </c>
      <c r="G10" s="108">
        <v>3.1</v>
      </c>
      <c r="H10" s="108"/>
      <c r="I10" s="117" t="str">
        <f t="shared" si="1"/>
        <v/>
      </c>
      <c r="J10" s="109" t="str">
        <f t="shared" si="2"/>
        <v/>
      </c>
      <c r="L10" s="142" t="s">
        <v>372</v>
      </c>
      <c r="M10" s="88"/>
      <c r="N10" s="88"/>
      <c r="O10" s="88"/>
      <c r="P10" s="88"/>
      <c r="Q10" s="88"/>
      <c r="R10" s="88"/>
      <c r="S10" s="88"/>
      <c r="T10" s="88"/>
      <c r="U10" s="88"/>
    </row>
    <row r="11" spans="2:21" ht="42.75" x14ac:dyDescent="0.2">
      <c r="B11" s="104">
        <v>3.5</v>
      </c>
      <c r="C11" s="104"/>
      <c r="D11" s="116" t="str">
        <f t="shared" si="0"/>
        <v/>
      </c>
      <c r="E11" s="105" t="str">
        <f>D11</f>
        <v/>
      </c>
      <c r="G11" s="104">
        <v>3.2</v>
      </c>
      <c r="H11" s="104"/>
      <c r="I11" s="116" t="str">
        <f t="shared" si="1"/>
        <v/>
      </c>
      <c r="J11" s="105" t="str">
        <f t="shared" si="2"/>
        <v/>
      </c>
      <c r="L11" s="98" t="s">
        <v>373</v>
      </c>
      <c r="M11" s="88"/>
      <c r="N11" s="88"/>
      <c r="O11" s="88"/>
      <c r="P11" s="88"/>
      <c r="Q11" s="88"/>
      <c r="R11" s="88"/>
      <c r="S11" s="88"/>
      <c r="T11" s="88"/>
      <c r="U11" s="88"/>
    </row>
    <row r="12" spans="2:21" ht="14.25" x14ac:dyDescent="0.2">
      <c r="B12" s="108">
        <v>4.2</v>
      </c>
      <c r="C12" s="108"/>
      <c r="D12" s="117" t="str">
        <f t="shared" si="0"/>
        <v/>
      </c>
      <c r="E12" s="109" t="str">
        <f t="shared" si="3"/>
        <v/>
      </c>
      <c r="G12" s="108">
        <v>3.3</v>
      </c>
      <c r="H12" s="108"/>
      <c r="I12" s="117" t="str">
        <f t="shared" si="1"/>
        <v/>
      </c>
      <c r="J12" s="109" t="str">
        <f t="shared" si="2"/>
        <v/>
      </c>
      <c r="L12" s="92" t="s">
        <v>374</v>
      </c>
      <c r="M12" s="88"/>
      <c r="N12" s="88"/>
      <c r="O12" s="88"/>
      <c r="P12" s="88"/>
      <c r="Q12" s="88"/>
      <c r="R12" s="88"/>
      <c r="S12" s="88"/>
      <c r="T12" s="88"/>
      <c r="U12" s="88"/>
    </row>
    <row r="13" spans="2:21" ht="28.5" x14ac:dyDescent="0.2">
      <c r="B13" s="104">
        <v>4.3</v>
      </c>
      <c r="C13" s="104"/>
      <c r="D13" s="116" t="str">
        <f t="shared" si="0"/>
        <v/>
      </c>
      <c r="E13" s="105" t="str">
        <f t="shared" si="3"/>
        <v/>
      </c>
      <c r="G13" s="104">
        <v>3.4</v>
      </c>
      <c r="H13" s="104"/>
      <c r="I13" s="116" t="str">
        <f t="shared" si="1"/>
        <v/>
      </c>
      <c r="J13" s="105" t="str">
        <f t="shared" si="2"/>
        <v/>
      </c>
      <c r="L13" s="98" t="s">
        <v>422</v>
      </c>
      <c r="M13" s="88"/>
      <c r="N13" s="88"/>
      <c r="O13" s="88"/>
      <c r="P13" s="88"/>
      <c r="Q13" s="88"/>
      <c r="R13" s="88"/>
      <c r="S13" s="88"/>
      <c r="T13" s="88"/>
      <c r="U13" s="88"/>
    </row>
    <row r="14" spans="2:21" ht="14.25" x14ac:dyDescent="0.2">
      <c r="B14" s="108">
        <v>5.0999999999999996</v>
      </c>
      <c r="C14" s="108"/>
      <c r="D14" s="117" t="str">
        <f t="shared" si="0"/>
        <v/>
      </c>
      <c r="E14" s="109" t="str">
        <f t="shared" si="3"/>
        <v/>
      </c>
      <c r="G14" s="108">
        <v>3.5</v>
      </c>
      <c r="H14" s="108"/>
      <c r="I14" s="117" t="str">
        <f t="shared" si="1"/>
        <v/>
      </c>
      <c r="J14" s="109" t="str">
        <f t="shared" si="2"/>
        <v/>
      </c>
      <c r="L14" s="139" t="s">
        <v>352</v>
      </c>
      <c r="M14" s="88"/>
      <c r="N14" s="88"/>
      <c r="O14" s="88"/>
      <c r="P14" s="88"/>
      <c r="Q14" s="88"/>
      <c r="R14" s="88"/>
      <c r="S14" s="88"/>
      <c r="T14" s="88"/>
      <c r="U14" s="88"/>
    </row>
    <row r="15" spans="2:21" ht="42.75" x14ac:dyDescent="0.2">
      <c r="B15" s="104">
        <v>6.2</v>
      </c>
      <c r="C15" s="104"/>
      <c r="D15" s="116" t="str">
        <f t="shared" si="0"/>
        <v/>
      </c>
      <c r="E15" s="105" t="str">
        <f t="shared" si="3"/>
        <v/>
      </c>
      <c r="G15" s="104">
        <v>3.6</v>
      </c>
      <c r="H15" s="104"/>
      <c r="I15" s="116" t="str">
        <f t="shared" si="1"/>
        <v/>
      </c>
      <c r="J15" s="105" t="str">
        <f t="shared" si="2"/>
        <v/>
      </c>
      <c r="L15" s="143" t="s">
        <v>353</v>
      </c>
      <c r="M15" s="88"/>
      <c r="N15" s="88"/>
      <c r="O15" s="88"/>
      <c r="P15" s="88"/>
      <c r="Q15" s="88"/>
      <c r="R15" s="88"/>
      <c r="S15" s="88"/>
      <c r="T15" s="88"/>
      <c r="U15" s="88"/>
    </row>
    <row r="16" spans="2:21" ht="14.25" x14ac:dyDescent="0.2">
      <c r="B16" s="108">
        <v>7.1</v>
      </c>
      <c r="C16" s="108"/>
      <c r="D16" s="117" t="str">
        <f t="shared" si="0"/>
        <v/>
      </c>
      <c r="E16" s="109" t="str">
        <f t="shared" si="3"/>
        <v/>
      </c>
      <c r="G16" s="108">
        <v>4.0999999999999996</v>
      </c>
      <c r="H16" s="108"/>
      <c r="I16" s="117" t="str">
        <f t="shared" si="1"/>
        <v/>
      </c>
      <c r="J16" s="109" t="str">
        <f t="shared" si="2"/>
        <v/>
      </c>
      <c r="L16" s="92" t="s">
        <v>383</v>
      </c>
      <c r="M16" s="88"/>
      <c r="N16" s="88"/>
      <c r="O16" s="88"/>
      <c r="P16" s="88"/>
      <c r="Q16" s="88"/>
      <c r="R16" s="88"/>
      <c r="S16" s="88"/>
      <c r="T16" s="88"/>
      <c r="U16" s="88"/>
    </row>
    <row r="17" spans="2:21" ht="44.25" thickBot="1" x14ac:dyDescent="0.25">
      <c r="B17" s="104">
        <v>7.7</v>
      </c>
      <c r="C17" s="104"/>
      <c r="D17" s="116" t="str">
        <f t="shared" si="0"/>
        <v/>
      </c>
      <c r="E17" s="105" t="str">
        <f t="shared" si="3"/>
        <v/>
      </c>
      <c r="G17" s="104">
        <v>4.2</v>
      </c>
      <c r="H17" s="104"/>
      <c r="I17" s="116" t="str">
        <f t="shared" si="1"/>
        <v/>
      </c>
      <c r="J17" s="105" t="str">
        <f t="shared" si="2"/>
        <v/>
      </c>
      <c r="L17" s="144" t="s">
        <v>362</v>
      </c>
      <c r="M17" s="88"/>
      <c r="N17" s="88"/>
      <c r="O17" s="88"/>
      <c r="P17" s="88"/>
      <c r="Q17" s="88"/>
      <c r="R17" s="88"/>
      <c r="S17" s="88"/>
      <c r="T17" s="88"/>
      <c r="U17" s="88"/>
    </row>
    <row r="18" spans="2:21" x14ac:dyDescent="0.2">
      <c r="B18" s="108">
        <v>8.1999999999999993</v>
      </c>
      <c r="C18" s="108"/>
      <c r="D18" s="117" t="str">
        <f t="shared" si="0"/>
        <v/>
      </c>
      <c r="E18" s="109" t="str">
        <f t="shared" si="3"/>
        <v/>
      </c>
      <c r="G18" s="108">
        <v>4.3</v>
      </c>
      <c r="H18" s="108"/>
      <c r="I18" s="117" t="str">
        <f t="shared" si="1"/>
        <v/>
      </c>
      <c r="J18" s="109" t="str">
        <f t="shared" si="2"/>
        <v/>
      </c>
      <c r="L18" s="88"/>
      <c r="M18" s="88"/>
      <c r="N18" s="88"/>
      <c r="O18" s="88"/>
      <c r="P18" s="88"/>
      <c r="Q18" s="88"/>
      <c r="R18" s="88"/>
      <c r="S18" s="88"/>
      <c r="T18" s="88"/>
      <c r="U18" s="88"/>
    </row>
    <row r="19" spans="2:21" x14ac:dyDescent="0.2">
      <c r="B19" s="104">
        <v>8.4</v>
      </c>
      <c r="C19" s="104"/>
      <c r="D19" s="116" t="str">
        <f t="shared" si="0"/>
        <v/>
      </c>
      <c r="E19" s="105" t="str">
        <f t="shared" si="3"/>
        <v/>
      </c>
      <c r="G19" s="104">
        <v>4.4000000000000004</v>
      </c>
      <c r="H19" s="104"/>
      <c r="I19" s="116" t="str">
        <f t="shared" si="1"/>
        <v/>
      </c>
      <c r="J19" s="105" t="str">
        <f t="shared" si="2"/>
        <v/>
      </c>
      <c r="L19" s="88"/>
      <c r="M19" s="88"/>
      <c r="N19" s="88"/>
      <c r="O19" s="88"/>
      <c r="P19" s="88"/>
      <c r="Q19" s="88"/>
      <c r="R19" s="88"/>
      <c r="S19" s="88"/>
      <c r="T19" s="88"/>
      <c r="U19" s="88"/>
    </row>
    <row r="20" spans="2:21" x14ac:dyDescent="0.2">
      <c r="B20" s="108">
        <v>8.5</v>
      </c>
      <c r="C20" s="108"/>
      <c r="D20" s="117" t="str">
        <f t="shared" si="0"/>
        <v/>
      </c>
      <c r="E20" s="109" t="str">
        <f t="shared" si="3"/>
        <v/>
      </c>
      <c r="G20" s="108">
        <v>4.5</v>
      </c>
      <c r="H20" s="108"/>
      <c r="I20" s="117" t="str">
        <f t="shared" si="1"/>
        <v/>
      </c>
      <c r="J20" s="109" t="str">
        <f t="shared" si="2"/>
        <v/>
      </c>
      <c r="L20" s="145"/>
      <c r="M20" s="88"/>
      <c r="N20" s="88"/>
      <c r="O20" s="88"/>
      <c r="P20" s="88"/>
      <c r="Q20" s="88"/>
      <c r="R20" s="88"/>
      <c r="S20" s="88"/>
      <c r="T20" s="88"/>
      <c r="U20" s="88"/>
    </row>
    <row r="21" spans="2:21" x14ac:dyDescent="0.2">
      <c r="B21" s="104">
        <v>9.4</v>
      </c>
      <c r="C21" s="104"/>
      <c r="D21" s="116" t="str">
        <f t="shared" si="0"/>
        <v/>
      </c>
      <c r="E21" s="105" t="str">
        <f t="shared" si="3"/>
        <v/>
      </c>
      <c r="G21" s="104">
        <v>4.5999999999999996</v>
      </c>
      <c r="H21" s="104"/>
      <c r="I21" s="116" t="str">
        <f t="shared" si="1"/>
        <v/>
      </c>
      <c r="J21" s="105" t="str">
        <f t="shared" si="2"/>
        <v/>
      </c>
      <c r="L21" s="145"/>
      <c r="M21" s="145"/>
      <c r="N21" s="145"/>
      <c r="O21" s="145"/>
      <c r="P21" s="145"/>
      <c r="Q21" s="145"/>
      <c r="R21" s="145"/>
      <c r="S21" s="145"/>
      <c r="T21" s="145"/>
      <c r="U21" s="145"/>
    </row>
    <row r="22" spans="2:21" x14ac:dyDescent="0.2">
      <c r="B22" s="108">
        <v>10.1</v>
      </c>
      <c r="C22" s="108"/>
      <c r="D22" s="117" t="str">
        <f t="shared" si="0"/>
        <v/>
      </c>
      <c r="E22" s="109" t="str">
        <f t="shared" si="3"/>
        <v/>
      </c>
      <c r="G22" s="108">
        <v>4.7</v>
      </c>
      <c r="H22" s="108"/>
      <c r="I22" s="117" t="str">
        <f t="shared" si="1"/>
        <v/>
      </c>
      <c r="J22" s="109" t="str">
        <f t="shared" si="2"/>
        <v/>
      </c>
      <c r="L22" s="145"/>
      <c r="M22" s="145"/>
      <c r="N22" s="145"/>
      <c r="O22" s="145"/>
      <c r="P22" s="145"/>
      <c r="Q22" s="145"/>
      <c r="R22" s="145"/>
      <c r="S22" s="145"/>
      <c r="T22" s="145"/>
      <c r="U22" s="145"/>
    </row>
    <row r="23" spans="2:21" x14ac:dyDescent="0.2">
      <c r="B23" s="104">
        <v>10.199999999999999</v>
      </c>
      <c r="C23" s="104"/>
      <c r="D23" s="116" t="str">
        <f t="shared" si="0"/>
        <v/>
      </c>
      <c r="E23" s="105" t="str">
        <f t="shared" si="3"/>
        <v/>
      </c>
      <c r="G23" s="104">
        <v>5.0999999999999996</v>
      </c>
      <c r="H23" s="104"/>
      <c r="I23" s="116" t="str">
        <f t="shared" si="1"/>
        <v/>
      </c>
      <c r="J23" s="105" t="str">
        <f t="shared" si="2"/>
        <v/>
      </c>
      <c r="L23" s="145"/>
      <c r="M23" s="145"/>
      <c r="N23" s="145"/>
      <c r="O23" s="145"/>
      <c r="P23" s="145"/>
      <c r="Q23" s="145"/>
      <c r="R23" s="145"/>
      <c r="S23" s="145"/>
      <c r="T23" s="145"/>
      <c r="U23" s="145"/>
    </row>
    <row r="24" spans="2:21" x14ac:dyDescent="0.2">
      <c r="B24" s="108">
        <v>10.4</v>
      </c>
      <c r="C24" s="108"/>
      <c r="D24" s="117" t="str">
        <f t="shared" si="0"/>
        <v/>
      </c>
      <c r="E24" s="109" t="str">
        <f t="shared" si="3"/>
        <v/>
      </c>
      <c r="G24" s="108">
        <v>5.2</v>
      </c>
      <c r="H24" s="108"/>
      <c r="I24" s="117" t="str">
        <f t="shared" si="1"/>
        <v/>
      </c>
      <c r="J24" s="109" t="str">
        <f t="shared" si="2"/>
        <v/>
      </c>
      <c r="L24" s="145"/>
      <c r="M24" s="145"/>
      <c r="N24" s="145"/>
      <c r="O24" s="145"/>
      <c r="P24" s="145"/>
      <c r="Q24" s="145"/>
      <c r="R24" s="145"/>
      <c r="S24" s="145"/>
      <c r="T24" s="145"/>
      <c r="U24" s="145"/>
    </row>
    <row r="25" spans="2:21" x14ac:dyDescent="0.2">
      <c r="B25" s="104">
        <v>10.5</v>
      </c>
      <c r="C25" s="104"/>
      <c r="D25" s="116" t="str">
        <f t="shared" si="0"/>
        <v/>
      </c>
      <c r="E25" s="105" t="str">
        <f t="shared" si="3"/>
        <v/>
      </c>
      <c r="G25" s="104">
        <v>5.3</v>
      </c>
      <c r="H25" s="104"/>
      <c r="I25" s="116" t="str">
        <f t="shared" si="1"/>
        <v/>
      </c>
      <c r="J25" s="105" t="str">
        <f t="shared" si="2"/>
        <v/>
      </c>
      <c r="L25" s="145"/>
      <c r="M25" s="145"/>
      <c r="N25" s="145"/>
      <c r="O25" s="145"/>
      <c r="P25" s="145"/>
      <c r="Q25" s="145"/>
      <c r="R25" s="145"/>
      <c r="S25" s="145"/>
      <c r="T25" s="145"/>
      <c r="U25" s="145"/>
    </row>
    <row r="26" spans="2:21" x14ac:dyDescent="0.2">
      <c r="B26" s="108">
        <v>11.4</v>
      </c>
      <c r="C26" s="108"/>
      <c r="D26" s="117" t="str">
        <f t="shared" si="0"/>
        <v/>
      </c>
      <c r="E26" s="109" t="str">
        <f t="shared" si="3"/>
        <v/>
      </c>
      <c r="G26" s="108">
        <v>5.4</v>
      </c>
      <c r="H26" s="108"/>
      <c r="I26" s="117" t="str">
        <f t="shared" si="1"/>
        <v/>
      </c>
      <c r="J26" s="109" t="str">
        <f t="shared" si="2"/>
        <v/>
      </c>
      <c r="L26" s="145"/>
      <c r="M26" s="145"/>
      <c r="N26" s="145"/>
      <c r="O26" s="145"/>
      <c r="P26" s="145"/>
      <c r="Q26" s="145"/>
      <c r="R26" s="145"/>
      <c r="S26" s="145"/>
      <c r="T26" s="145"/>
      <c r="U26" s="145"/>
    </row>
    <row r="27" spans="2:21" x14ac:dyDescent="0.2">
      <c r="B27" s="104">
        <v>12.1</v>
      </c>
      <c r="C27" s="104"/>
      <c r="D27" s="116" t="str">
        <f t="shared" si="0"/>
        <v/>
      </c>
      <c r="E27" s="105" t="str">
        <f t="shared" si="3"/>
        <v/>
      </c>
      <c r="G27" s="104">
        <v>6.1</v>
      </c>
      <c r="H27" s="104"/>
      <c r="I27" s="116" t="str">
        <f t="shared" si="1"/>
        <v/>
      </c>
      <c r="J27" s="105" t="str">
        <f t="shared" si="2"/>
        <v/>
      </c>
      <c r="L27" s="145"/>
      <c r="M27" s="145"/>
      <c r="N27" s="145"/>
      <c r="O27" s="145"/>
      <c r="P27" s="145"/>
      <c r="Q27" s="145"/>
      <c r="R27" s="145"/>
      <c r="S27" s="145"/>
      <c r="T27" s="145"/>
      <c r="U27" s="145"/>
    </row>
    <row r="28" spans="2:21" x14ac:dyDescent="0.2">
      <c r="B28" s="108">
        <v>12.4</v>
      </c>
      <c r="C28" s="108"/>
      <c r="D28" s="117" t="str">
        <f t="shared" si="0"/>
        <v/>
      </c>
      <c r="E28" s="109" t="str">
        <f t="shared" si="3"/>
        <v/>
      </c>
      <c r="G28" s="108">
        <v>6.2</v>
      </c>
      <c r="H28" s="108"/>
      <c r="I28" s="117" t="str">
        <f t="shared" si="1"/>
        <v/>
      </c>
      <c r="J28" s="109" t="str">
        <f t="shared" si="2"/>
        <v/>
      </c>
      <c r="L28" s="145"/>
      <c r="M28" s="145"/>
      <c r="N28" s="145"/>
      <c r="O28" s="145"/>
      <c r="P28" s="145"/>
      <c r="Q28" s="145"/>
      <c r="R28" s="145"/>
      <c r="S28" s="145"/>
      <c r="T28" s="145"/>
      <c r="U28" s="145"/>
    </row>
    <row r="29" spans="2:21" x14ac:dyDescent="0.2">
      <c r="B29" s="104">
        <v>13.1</v>
      </c>
      <c r="C29" s="104"/>
      <c r="D29" s="116" t="str">
        <f t="shared" si="0"/>
        <v/>
      </c>
      <c r="E29" s="105" t="str">
        <f t="shared" si="3"/>
        <v/>
      </c>
      <c r="G29" s="104">
        <v>6.3</v>
      </c>
      <c r="H29" s="104"/>
      <c r="I29" s="116" t="str">
        <f t="shared" si="1"/>
        <v/>
      </c>
      <c r="J29" s="105" t="str">
        <f t="shared" si="2"/>
        <v/>
      </c>
      <c r="L29" s="145"/>
      <c r="M29" s="145"/>
      <c r="N29" s="145"/>
      <c r="O29" s="145"/>
      <c r="P29" s="145"/>
      <c r="Q29" s="145"/>
      <c r="R29" s="145"/>
      <c r="S29" s="145"/>
      <c r="T29" s="145"/>
      <c r="U29" s="145"/>
    </row>
    <row r="30" spans="2:21" x14ac:dyDescent="0.2">
      <c r="B30" s="108">
        <v>13.2</v>
      </c>
      <c r="C30" s="108"/>
      <c r="D30" s="117" t="str">
        <f t="shared" si="0"/>
        <v/>
      </c>
      <c r="E30" s="109" t="str">
        <f t="shared" si="3"/>
        <v/>
      </c>
      <c r="G30" s="108">
        <v>6.4</v>
      </c>
      <c r="H30" s="108"/>
      <c r="I30" s="117" t="str">
        <f t="shared" si="1"/>
        <v/>
      </c>
      <c r="J30" s="109" t="str">
        <f t="shared" si="2"/>
        <v/>
      </c>
      <c r="L30" s="145"/>
      <c r="M30" s="145"/>
      <c r="N30" s="145"/>
      <c r="O30" s="145"/>
      <c r="P30" s="145"/>
      <c r="Q30" s="145"/>
      <c r="R30" s="145"/>
      <c r="S30" s="145"/>
      <c r="T30" s="145"/>
      <c r="U30" s="145"/>
    </row>
    <row r="31" spans="2:21" x14ac:dyDescent="0.2">
      <c r="B31" s="104">
        <v>13.6</v>
      </c>
      <c r="C31" s="104"/>
      <c r="D31" s="116" t="str">
        <f t="shared" si="0"/>
        <v/>
      </c>
      <c r="E31" s="105" t="str">
        <f t="shared" si="3"/>
        <v/>
      </c>
      <c r="G31" s="104">
        <v>6.5</v>
      </c>
      <c r="H31" s="104"/>
      <c r="I31" s="116" t="str">
        <f t="shared" si="1"/>
        <v/>
      </c>
      <c r="J31" s="105" t="str">
        <f t="shared" si="2"/>
        <v/>
      </c>
      <c r="L31" s="145"/>
      <c r="M31" s="145"/>
      <c r="N31" s="145"/>
      <c r="O31" s="145"/>
      <c r="P31" s="145"/>
      <c r="Q31" s="145"/>
      <c r="R31" s="145"/>
      <c r="S31" s="145"/>
      <c r="T31" s="145"/>
      <c r="U31" s="145"/>
    </row>
    <row r="32" spans="2:21" x14ac:dyDescent="0.2">
      <c r="B32" s="108">
        <v>14.6</v>
      </c>
      <c r="C32" s="108"/>
      <c r="D32" s="117" t="str">
        <f t="shared" si="0"/>
        <v/>
      </c>
      <c r="E32" s="109" t="str">
        <f t="shared" si="3"/>
        <v/>
      </c>
      <c r="G32" s="108">
        <v>7.1</v>
      </c>
      <c r="H32" s="108"/>
      <c r="I32" s="117" t="str">
        <f t="shared" si="1"/>
        <v/>
      </c>
      <c r="J32" s="109" t="str">
        <f t="shared" si="2"/>
        <v/>
      </c>
      <c r="L32" s="145"/>
      <c r="M32" s="145"/>
      <c r="N32" s="145"/>
      <c r="O32" s="145"/>
      <c r="P32" s="145"/>
      <c r="Q32" s="145"/>
      <c r="R32" s="145"/>
      <c r="S32" s="145"/>
      <c r="T32" s="145"/>
      <c r="U32" s="145"/>
    </row>
    <row r="33" spans="2:21" x14ac:dyDescent="0.2">
      <c r="B33" s="104">
        <v>15.7</v>
      </c>
      <c r="C33" s="104"/>
      <c r="D33" s="116" t="str">
        <f t="shared" si="0"/>
        <v/>
      </c>
      <c r="E33" s="105" t="str">
        <f t="shared" si="3"/>
        <v/>
      </c>
      <c r="G33" s="104">
        <v>7.2</v>
      </c>
      <c r="H33" s="104"/>
      <c r="I33" s="116" t="str">
        <f t="shared" si="1"/>
        <v/>
      </c>
      <c r="J33" s="105" t="str">
        <f t="shared" si="2"/>
        <v/>
      </c>
      <c r="L33" s="145"/>
      <c r="M33" s="145"/>
      <c r="N33" s="145"/>
      <c r="O33" s="145"/>
      <c r="P33" s="145"/>
      <c r="Q33" s="145"/>
      <c r="R33" s="145"/>
      <c r="S33" s="145"/>
      <c r="T33" s="145"/>
      <c r="U33" s="145"/>
    </row>
    <row r="34" spans="2:21" x14ac:dyDescent="0.2">
      <c r="B34" s="111">
        <v>15.1</v>
      </c>
      <c r="C34" s="108"/>
      <c r="D34" s="117" t="str">
        <f t="shared" si="0"/>
        <v/>
      </c>
      <c r="E34" s="109" t="str">
        <f t="shared" si="3"/>
        <v/>
      </c>
      <c r="G34" s="108">
        <v>7.3</v>
      </c>
      <c r="H34" s="108"/>
      <c r="I34" s="117" t="str">
        <f t="shared" si="1"/>
        <v/>
      </c>
      <c r="J34" s="109" t="str">
        <f t="shared" si="2"/>
        <v/>
      </c>
      <c r="L34" s="145"/>
      <c r="M34" s="145"/>
      <c r="N34" s="145"/>
      <c r="O34" s="145"/>
      <c r="P34" s="145"/>
      <c r="Q34" s="145"/>
      <c r="R34" s="145"/>
      <c r="S34" s="145"/>
      <c r="T34" s="145"/>
      <c r="U34" s="145"/>
    </row>
    <row r="35" spans="2:21" x14ac:dyDescent="0.2">
      <c r="B35" s="104">
        <v>16.8</v>
      </c>
      <c r="C35" s="104"/>
      <c r="D35" s="116" t="str">
        <f t="shared" si="0"/>
        <v/>
      </c>
      <c r="E35" s="105" t="str">
        <f t="shared" si="3"/>
        <v/>
      </c>
      <c r="G35" s="104">
        <v>7.4</v>
      </c>
      <c r="H35" s="104"/>
      <c r="I35" s="116" t="str">
        <f t="shared" si="1"/>
        <v/>
      </c>
      <c r="J35" s="105" t="str">
        <f t="shared" si="2"/>
        <v/>
      </c>
      <c r="L35" s="145"/>
      <c r="M35" s="145"/>
      <c r="N35" s="145"/>
      <c r="O35" s="145"/>
      <c r="P35" s="145"/>
      <c r="Q35" s="145"/>
      <c r="R35" s="145"/>
      <c r="S35" s="145"/>
      <c r="T35" s="145"/>
      <c r="U35" s="145"/>
    </row>
    <row r="36" spans="2:21" x14ac:dyDescent="0.2">
      <c r="B36" s="108">
        <v>16.899999999999999</v>
      </c>
      <c r="C36" s="108"/>
      <c r="D36" s="117" t="str">
        <f t="shared" si="0"/>
        <v/>
      </c>
      <c r="E36" s="109" t="str">
        <f t="shared" si="3"/>
        <v/>
      </c>
      <c r="G36" s="108">
        <v>8.1</v>
      </c>
      <c r="H36" s="108"/>
      <c r="I36" s="117" t="str">
        <f t="shared" si="1"/>
        <v/>
      </c>
      <c r="J36" s="109" t="str">
        <f t="shared" si="2"/>
        <v/>
      </c>
      <c r="L36" s="145"/>
      <c r="M36" s="145"/>
      <c r="N36" s="145"/>
      <c r="O36" s="145"/>
      <c r="P36" s="145"/>
      <c r="Q36" s="145"/>
      <c r="R36" s="145"/>
      <c r="S36" s="145"/>
      <c r="T36" s="145"/>
      <c r="U36" s="145"/>
    </row>
    <row r="37" spans="2:21" x14ac:dyDescent="0.2">
      <c r="B37" s="104">
        <v>16.11</v>
      </c>
      <c r="C37" s="104"/>
      <c r="D37" s="116" t="str">
        <f t="shared" si="0"/>
        <v/>
      </c>
      <c r="E37" s="105" t="str">
        <f t="shared" si="3"/>
        <v/>
      </c>
      <c r="G37" s="104">
        <v>8.1999999999999993</v>
      </c>
      <c r="H37" s="104"/>
      <c r="I37" s="116" t="str">
        <f t="shared" si="1"/>
        <v/>
      </c>
      <c r="J37" s="105" t="str">
        <f t="shared" si="2"/>
        <v/>
      </c>
      <c r="L37" s="145"/>
      <c r="M37" s="145"/>
      <c r="N37" s="145"/>
      <c r="O37" s="145"/>
      <c r="P37" s="145"/>
      <c r="Q37" s="145"/>
      <c r="R37" s="145"/>
      <c r="S37" s="145"/>
      <c r="T37" s="145"/>
      <c r="U37" s="145"/>
    </row>
    <row r="38" spans="2:21" x14ac:dyDescent="0.2">
      <c r="B38" s="108">
        <v>17.3</v>
      </c>
      <c r="C38" s="108"/>
      <c r="D38" s="117" t="str">
        <f t="shared" si="0"/>
        <v/>
      </c>
      <c r="E38" s="109" t="str">
        <f t="shared" si="3"/>
        <v/>
      </c>
      <c r="G38" s="108">
        <v>8.3000000000000007</v>
      </c>
      <c r="H38" s="108"/>
      <c r="I38" s="117" t="str">
        <f t="shared" si="1"/>
        <v/>
      </c>
      <c r="J38" s="109" t="str">
        <f t="shared" si="2"/>
        <v/>
      </c>
      <c r="L38" s="145"/>
      <c r="M38" s="145"/>
      <c r="N38" s="145"/>
      <c r="O38" s="145"/>
      <c r="P38" s="145"/>
      <c r="Q38" s="145"/>
      <c r="R38" s="145"/>
      <c r="S38" s="145"/>
      <c r="T38" s="145"/>
      <c r="U38" s="145"/>
    </row>
    <row r="39" spans="2:21" x14ac:dyDescent="0.2">
      <c r="B39" s="104">
        <v>17.5</v>
      </c>
      <c r="C39" s="104"/>
      <c r="D39" s="116" t="str">
        <f t="shared" si="0"/>
        <v/>
      </c>
      <c r="E39" s="105" t="str">
        <f t="shared" si="3"/>
        <v/>
      </c>
      <c r="G39" s="104">
        <v>9.1</v>
      </c>
      <c r="H39" s="104"/>
      <c r="I39" s="116" t="str">
        <f t="shared" si="1"/>
        <v/>
      </c>
      <c r="J39" s="105" t="str">
        <f t="shared" si="2"/>
        <v/>
      </c>
      <c r="L39" s="145"/>
      <c r="M39" s="145"/>
      <c r="N39" s="145"/>
      <c r="O39" s="145"/>
      <c r="P39" s="145"/>
      <c r="Q39" s="145"/>
      <c r="R39" s="145"/>
      <c r="S39" s="145"/>
      <c r="T39" s="145"/>
      <c r="U39" s="145"/>
    </row>
    <row r="40" spans="2:21" x14ac:dyDescent="0.2">
      <c r="B40" s="108">
        <v>17.600000000000001</v>
      </c>
      <c r="C40" s="108"/>
      <c r="D40" s="117" t="str">
        <f t="shared" si="0"/>
        <v/>
      </c>
      <c r="E40" s="109" t="str">
        <f t="shared" si="3"/>
        <v/>
      </c>
      <c r="G40" s="108">
        <v>9.1999999999999993</v>
      </c>
      <c r="H40" s="108"/>
      <c r="I40" s="117" t="str">
        <f t="shared" si="1"/>
        <v/>
      </c>
      <c r="J40" s="109" t="str">
        <f t="shared" si="2"/>
        <v/>
      </c>
      <c r="L40" s="145"/>
      <c r="M40" s="145"/>
      <c r="N40" s="145"/>
      <c r="O40" s="145"/>
      <c r="P40" s="145"/>
      <c r="Q40" s="145"/>
      <c r="R40" s="145"/>
      <c r="S40" s="145"/>
      <c r="T40" s="145"/>
      <c r="U40" s="145"/>
    </row>
    <row r="41" spans="2:21" x14ac:dyDescent="0.2">
      <c r="B41" s="104">
        <v>17.7</v>
      </c>
      <c r="C41" s="104"/>
      <c r="D41" s="116" t="str">
        <f t="shared" si="0"/>
        <v/>
      </c>
      <c r="E41" s="105" t="str">
        <f t="shared" si="3"/>
        <v/>
      </c>
      <c r="G41" s="104">
        <v>10.1</v>
      </c>
      <c r="H41" s="104"/>
      <c r="I41" s="116" t="str">
        <f t="shared" si="1"/>
        <v/>
      </c>
      <c r="J41" s="105" t="str">
        <f t="shared" si="2"/>
        <v/>
      </c>
      <c r="L41" s="145"/>
      <c r="M41" s="145"/>
      <c r="N41" s="145"/>
      <c r="O41" s="145"/>
      <c r="P41" s="145"/>
      <c r="Q41" s="145"/>
      <c r="R41" s="145"/>
      <c r="S41" s="145"/>
      <c r="T41" s="145"/>
      <c r="U41" s="145"/>
    </row>
    <row r="42" spans="2:21" x14ac:dyDescent="0.2">
      <c r="B42" s="108">
        <v>17.8</v>
      </c>
      <c r="C42" s="108"/>
      <c r="D42" s="117" t="str">
        <f t="shared" si="0"/>
        <v/>
      </c>
      <c r="E42" s="109" t="str">
        <f t="shared" si="3"/>
        <v/>
      </c>
      <c r="G42" s="108">
        <v>10.199999999999999</v>
      </c>
      <c r="H42" s="108"/>
      <c r="I42" s="117" t="str">
        <f t="shared" si="1"/>
        <v/>
      </c>
      <c r="J42" s="109" t="str">
        <f t="shared" si="2"/>
        <v/>
      </c>
      <c r="L42" s="145"/>
      <c r="M42" s="145"/>
      <c r="N42" s="145"/>
      <c r="O42" s="145"/>
      <c r="P42" s="145"/>
      <c r="Q42" s="145"/>
      <c r="R42" s="145"/>
      <c r="S42" s="145"/>
      <c r="T42" s="145"/>
      <c r="U42" s="145"/>
    </row>
    <row r="43" spans="2:21" x14ac:dyDescent="0.2">
      <c r="B43" s="104">
        <v>17.899999999999999</v>
      </c>
      <c r="C43" s="104"/>
      <c r="D43" s="116" t="str">
        <f t="shared" si="0"/>
        <v/>
      </c>
      <c r="E43" s="105" t="str">
        <f t="shared" si="3"/>
        <v/>
      </c>
      <c r="G43" s="104">
        <v>10.3</v>
      </c>
      <c r="H43" s="104"/>
      <c r="I43" s="116" t="str">
        <f t="shared" si="1"/>
        <v/>
      </c>
      <c r="J43" s="105" t="str">
        <f t="shared" si="2"/>
        <v/>
      </c>
      <c r="L43" s="145"/>
      <c r="M43" s="145"/>
      <c r="N43" s="145"/>
      <c r="O43" s="145"/>
      <c r="P43" s="145"/>
      <c r="Q43" s="145"/>
      <c r="R43" s="145"/>
      <c r="S43" s="145"/>
      <c r="T43" s="145"/>
      <c r="U43" s="145"/>
    </row>
    <row r="44" spans="2:21" x14ac:dyDescent="0.2">
      <c r="B44" s="108">
        <v>19.100000000000001</v>
      </c>
      <c r="C44" s="108"/>
      <c r="D44" s="117" t="str">
        <f t="shared" si="0"/>
        <v/>
      </c>
      <c r="E44" s="109" t="str">
        <f t="shared" si="3"/>
        <v/>
      </c>
      <c r="G44" s="108">
        <v>11.1</v>
      </c>
      <c r="H44" s="108"/>
      <c r="I44" s="117" t="str">
        <f t="shared" si="1"/>
        <v/>
      </c>
      <c r="J44" s="109" t="str">
        <f t="shared" si="2"/>
        <v/>
      </c>
      <c r="L44" s="145"/>
      <c r="M44" s="145"/>
      <c r="N44" s="145"/>
      <c r="O44" s="145"/>
      <c r="P44" s="145"/>
      <c r="Q44" s="145"/>
      <c r="R44" s="145"/>
      <c r="S44" s="145"/>
      <c r="T44" s="145"/>
      <c r="U44" s="145"/>
    </row>
    <row r="45" spans="2:21" x14ac:dyDescent="0.2">
      <c r="B45" s="104">
        <v>19.3</v>
      </c>
      <c r="C45" s="104"/>
      <c r="D45" s="116" t="str">
        <f t="shared" si="0"/>
        <v/>
      </c>
      <c r="E45" s="105" t="str">
        <f t="shared" si="3"/>
        <v/>
      </c>
      <c r="G45" s="104">
        <v>11.2</v>
      </c>
      <c r="H45" s="104"/>
      <c r="I45" s="116" t="str">
        <f t="shared" si="1"/>
        <v/>
      </c>
      <c r="J45" s="105" t="str">
        <f t="shared" si="2"/>
        <v/>
      </c>
      <c r="L45" s="145"/>
      <c r="M45" s="145"/>
      <c r="N45" s="145"/>
      <c r="O45" s="145"/>
      <c r="P45" s="145"/>
      <c r="Q45" s="145"/>
      <c r="R45" s="145"/>
      <c r="S45" s="145"/>
      <c r="T45" s="145"/>
      <c r="U45" s="145"/>
    </row>
    <row r="46" spans="2:21" x14ac:dyDescent="0.2">
      <c r="B46" s="108">
        <v>19.5</v>
      </c>
      <c r="C46" s="108"/>
      <c r="D46" s="117" t="str">
        <f t="shared" si="0"/>
        <v/>
      </c>
      <c r="E46" s="109" t="str">
        <f t="shared" si="3"/>
        <v/>
      </c>
      <c r="G46" s="108">
        <v>11.3</v>
      </c>
      <c r="H46" s="108"/>
      <c r="I46" s="117" t="str">
        <f t="shared" si="1"/>
        <v/>
      </c>
      <c r="J46" s="109" t="str">
        <f t="shared" si="2"/>
        <v/>
      </c>
      <c r="L46" s="145"/>
      <c r="M46" s="145"/>
      <c r="N46" s="145"/>
      <c r="O46" s="145"/>
      <c r="P46" s="145"/>
      <c r="Q46" s="145"/>
      <c r="R46" s="145"/>
      <c r="S46" s="145"/>
      <c r="T46" s="145"/>
      <c r="U46" s="145"/>
    </row>
    <row r="47" spans="2:21" ht="13.5" thickBot="1" x14ac:dyDescent="0.25">
      <c r="B47" s="112">
        <v>19.600000000000001</v>
      </c>
      <c r="C47" s="112"/>
      <c r="D47" s="118" t="str">
        <f t="shared" si="0"/>
        <v/>
      </c>
      <c r="E47" s="113" t="str">
        <f t="shared" si="3"/>
        <v/>
      </c>
      <c r="G47" s="104">
        <v>11.4</v>
      </c>
      <c r="H47" s="104"/>
      <c r="I47" s="116" t="str">
        <f t="shared" si="1"/>
        <v/>
      </c>
      <c r="J47" s="105" t="str">
        <f t="shared" si="2"/>
        <v/>
      </c>
      <c r="L47" s="145"/>
      <c r="M47" s="145"/>
      <c r="N47" s="145"/>
      <c r="O47" s="145"/>
      <c r="P47" s="145"/>
      <c r="Q47" s="145"/>
      <c r="R47" s="145"/>
      <c r="S47" s="145"/>
      <c r="T47" s="145"/>
      <c r="U47" s="145"/>
    </row>
    <row r="48" spans="2:21" x14ac:dyDescent="0.2">
      <c r="G48" s="108">
        <v>12.1</v>
      </c>
      <c r="H48" s="108"/>
      <c r="I48" s="117" t="str">
        <f t="shared" si="1"/>
        <v/>
      </c>
      <c r="J48" s="109" t="str">
        <f t="shared" si="2"/>
        <v/>
      </c>
      <c r="L48" s="145"/>
      <c r="M48" s="145"/>
      <c r="N48" s="145"/>
      <c r="O48" s="145"/>
      <c r="P48" s="145"/>
      <c r="Q48" s="145"/>
      <c r="R48" s="145"/>
      <c r="S48" s="145"/>
      <c r="T48" s="145"/>
      <c r="U48" s="145"/>
    </row>
    <row r="49" spans="7:21" x14ac:dyDescent="0.2">
      <c r="G49" s="104">
        <v>14.1</v>
      </c>
      <c r="H49" s="104"/>
      <c r="I49" s="116" t="str">
        <f t="shared" si="1"/>
        <v/>
      </c>
      <c r="J49" s="105" t="str">
        <f t="shared" si="2"/>
        <v/>
      </c>
      <c r="L49" s="145"/>
      <c r="M49" s="145"/>
      <c r="N49" s="145"/>
      <c r="O49" s="145"/>
      <c r="P49" s="145"/>
      <c r="Q49" s="145"/>
      <c r="R49" s="145"/>
      <c r="S49" s="145"/>
      <c r="T49" s="145"/>
      <c r="U49" s="145"/>
    </row>
    <row r="50" spans="7:21" x14ac:dyDescent="0.2">
      <c r="G50" s="108">
        <v>14.2</v>
      </c>
      <c r="H50" s="108"/>
      <c r="I50" s="117" t="str">
        <f t="shared" si="1"/>
        <v/>
      </c>
      <c r="J50" s="109" t="str">
        <f t="shared" si="2"/>
        <v/>
      </c>
      <c r="L50" s="145"/>
      <c r="M50" s="145"/>
      <c r="N50" s="145"/>
      <c r="O50" s="145"/>
      <c r="P50" s="145"/>
      <c r="Q50" s="145"/>
      <c r="R50" s="145"/>
      <c r="S50" s="145"/>
      <c r="T50" s="145"/>
      <c r="U50" s="145"/>
    </row>
    <row r="51" spans="7:21" x14ac:dyDescent="0.2">
      <c r="G51" s="104">
        <v>14.3</v>
      </c>
      <c r="H51" s="104"/>
      <c r="I51" s="116" t="str">
        <f t="shared" si="1"/>
        <v/>
      </c>
      <c r="J51" s="105" t="str">
        <f t="shared" si="2"/>
        <v/>
      </c>
      <c r="M51" s="145"/>
      <c r="N51" s="145"/>
      <c r="O51" s="145"/>
      <c r="P51" s="145"/>
      <c r="Q51" s="145"/>
      <c r="R51" s="145"/>
      <c r="S51" s="145"/>
      <c r="T51" s="145"/>
      <c r="U51" s="145"/>
    </row>
    <row r="52" spans="7:21" x14ac:dyDescent="0.2">
      <c r="G52" s="108">
        <v>14.4</v>
      </c>
      <c r="H52" s="108"/>
      <c r="I52" s="117" t="str">
        <f t="shared" si="1"/>
        <v/>
      </c>
      <c r="J52" s="109" t="str">
        <f t="shared" si="2"/>
        <v/>
      </c>
    </row>
    <row r="53" spans="7:21" x14ac:dyDescent="0.2">
      <c r="G53" s="104">
        <v>14.5</v>
      </c>
      <c r="H53" s="104"/>
      <c r="I53" s="116" t="str">
        <f t="shared" si="1"/>
        <v/>
      </c>
      <c r="J53" s="105" t="str">
        <f t="shared" si="2"/>
        <v/>
      </c>
    </row>
    <row r="54" spans="7:21" x14ac:dyDescent="0.2">
      <c r="G54" s="108">
        <v>14.6</v>
      </c>
      <c r="H54" s="108"/>
      <c r="I54" s="117" t="str">
        <f t="shared" si="1"/>
        <v/>
      </c>
      <c r="J54" s="109" t="str">
        <f t="shared" si="2"/>
        <v/>
      </c>
    </row>
    <row r="55" spans="7:21" x14ac:dyDescent="0.2">
      <c r="G55" s="104">
        <v>14.7</v>
      </c>
      <c r="H55" s="104"/>
      <c r="I55" s="116" t="str">
        <f t="shared" si="1"/>
        <v/>
      </c>
      <c r="J55" s="105" t="str">
        <f t="shared" si="2"/>
        <v/>
      </c>
    </row>
    <row r="56" spans="7:21" x14ac:dyDescent="0.2">
      <c r="G56" s="108">
        <v>14.8</v>
      </c>
      <c r="H56" s="108"/>
      <c r="I56" s="117" t="str">
        <f t="shared" si="1"/>
        <v/>
      </c>
      <c r="J56" s="109" t="str">
        <f t="shared" si="2"/>
        <v/>
      </c>
    </row>
    <row r="57" spans="7:21" x14ac:dyDescent="0.2">
      <c r="G57" s="104">
        <v>15.1</v>
      </c>
      <c r="H57" s="104"/>
      <c r="I57" s="116" t="str">
        <f t="shared" si="1"/>
        <v/>
      </c>
      <c r="J57" s="105" t="str">
        <f t="shared" si="2"/>
        <v/>
      </c>
    </row>
    <row r="58" spans="7:21" x14ac:dyDescent="0.2">
      <c r="G58" s="108">
        <v>17.100000000000001</v>
      </c>
      <c r="H58" s="108"/>
      <c r="I58" s="117" t="str">
        <f t="shared" si="1"/>
        <v/>
      </c>
      <c r="J58" s="109" t="str">
        <f t="shared" si="2"/>
        <v/>
      </c>
    </row>
    <row r="59" spans="7:21" x14ac:dyDescent="0.2">
      <c r="G59" s="104">
        <v>17.2</v>
      </c>
      <c r="H59" s="104"/>
      <c r="I59" s="116" t="str">
        <f t="shared" si="1"/>
        <v/>
      </c>
      <c r="J59" s="105" t="str">
        <f t="shared" si="2"/>
        <v/>
      </c>
    </row>
    <row r="60" spans="7:21" ht="13.5" thickBot="1" x14ac:dyDescent="0.25">
      <c r="G60" s="114">
        <v>17.3</v>
      </c>
      <c r="H60" s="114"/>
      <c r="I60" s="120" t="str">
        <f t="shared" si="1"/>
        <v/>
      </c>
      <c r="J60" s="115" t="str">
        <f t="shared" si="2"/>
        <v/>
      </c>
    </row>
  </sheetData>
  <sheetProtection sheet="1" objects="1" scenarios="1"/>
  <mergeCells count="4">
    <mergeCell ref="B1:J1"/>
    <mergeCell ref="N1:O1"/>
    <mergeCell ref="B3:E3"/>
    <mergeCell ref="G3:J3"/>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D978-F68F-4E0C-A783-798EF212641D}">
  <sheetPr codeName="Sheet8">
    <tabColor rgb="FFA391F1"/>
  </sheetPr>
  <dimension ref="B1:AC69"/>
  <sheetViews>
    <sheetView showGridLines="0" workbookViewId="0">
      <selection activeCell="B1" sqref="B1:X1"/>
    </sheetView>
  </sheetViews>
  <sheetFormatPr defaultColWidth="9.140625" defaultRowHeight="12.75" x14ac:dyDescent="0.2"/>
  <cols>
    <col min="1" max="1" width="9.140625" style="86"/>
    <col min="2" max="2" width="19" style="88" customWidth="1"/>
    <col min="3" max="3" width="21.140625" style="86" bestFit="1" customWidth="1"/>
    <col min="4" max="4" width="28.140625" style="86" bestFit="1" customWidth="1"/>
    <col min="5" max="5" width="26.5703125" style="86" customWidth="1"/>
    <col min="6" max="6" width="24.85546875" style="86" bestFit="1" customWidth="1"/>
    <col min="7" max="7" width="18.140625" style="86" customWidth="1"/>
    <col min="8" max="8" width="20.42578125" style="86" bestFit="1" customWidth="1"/>
    <col min="9" max="9" width="18.28515625" style="86" bestFit="1" customWidth="1"/>
    <col min="10" max="10" width="16.42578125" style="86" bestFit="1" customWidth="1"/>
    <col min="11" max="11" width="22" style="86" bestFit="1" customWidth="1"/>
    <col min="12" max="12" width="22" style="86" customWidth="1"/>
    <col min="13" max="13" width="9.140625" style="86"/>
    <col min="14" max="14" width="25" style="89" customWidth="1"/>
    <col min="15" max="15" width="23.140625" style="86" bestFit="1" customWidth="1"/>
    <col min="16" max="16" width="29.7109375" style="86" bestFit="1" customWidth="1"/>
    <col min="17" max="17" width="27.42578125" style="86" bestFit="1" customWidth="1"/>
    <col min="18" max="18" width="25.7109375" style="86" bestFit="1" customWidth="1"/>
    <col min="19" max="19" width="14" style="86" bestFit="1" customWidth="1"/>
    <col min="20" max="20" width="20.42578125" style="86" bestFit="1" customWidth="1"/>
    <col min="21" max="21" width="18.28515625" style="86" bestFit="1" customWidth="1"/>
    <col min="22" max="22" width="16.42578125" style="86" bestFit="1" customWidth="1"/>
    <col min="23" max="24" width="16.85546875" style="86" bestFit="1" customWidth="1"/>
    <col min="25" max="25" width="9.140625" style="86"/>
    <col min="26" max="26" width="123.42578125" style="86" customWidth="1"/>
    <col min="27" max="27" width="9.140625" style="86"/>
    <col min="28" max="28" width="19.7109375" style="86" bestFit="1" customWidth="1"/>
    <col min="29" max="29" width="88.7109375" style="86" customWidth="1"/>
    <col min="30" max="16384" width="9.140625" style="86"/>
  </cols>
  <sheetData>
    <row r="1" spans="2:29" ht="67.5" customHeight="1" thickBot="1" x14ac:dyDescent="0.25">
      <c r="B1" s="300" t="s">
        <v>302</v>
      </c>
      <c r="C1" s="301"/>
      <c r="D1" s="301"/>
      <c r="E1" s="301"/>
      <c r="F1" s="301"/>
      <c r="G1" s="301"/>
      <c r="H1" s="301"/>
      <c r="I1" s="301"/>
      <c r="J1" s="301"/>
      <c r="K1" s="301"/>
      <c r="L1" s="301"/>
      <c r="M1" s="301"/>
      <c r="N1" s="301"/>
      <c r="O1" s="301"/>
      <c r="P1" s="301"/>
      <c r="Q1" s="301"/>
      <c r="R1" s="301"/>
      <c r="S1" s="301"/>
      <c r="T1" s="301"/>
      <c r="U1" s="301"/>
      <c r="V1" s="301"/>
      <c r="W1" s="301"/>
      <c r="X1" s="302"/>
      <c r="Z1" s="87" t="s">
        <v>347</v>
      </c>
      <c r="AB1" s="290" t="s">
        <v>361</v>
      </c>
      <c r="AC1" s="291"/>
    </row>
    <row r="2" spans="2:29" ht="13.5" thickBot="1" x14ac:dyDescent="0.25">
      <c r="Z2" s="90"/>
      <c r="AB2" s="91" t="s">
        <v>292</v>
      </c>
      <c r="AC2" s="91" t="s">
        <v>4</v>
      </c>
    </row>
    <row r="3" spans="2:29" ht="27" thickTop="1" thickBot="1" x14ac:dyDescent="0.25">
      <c r="B3" s="121" t="s">
        <v>340</v>
      </c>
      <c r="C3" s="122" t="s">
        <v>310</v>
      </c>
      <c r="D3" s="122" t="s">
        <v>311</v>
      </c>
      <c r="E3" s="122" t="s">
        <v>312</v>
      </c>
      <c r="F3" s="123" t="s">
        <v>313</v>
      </c>
      <c r="G3" s="124" t="s">
        <v>340</v>
      </c>
      <c r="Z3" s="92" t="s">
        <v>348</v>
      </c>
      <c r="AB3" s="91">
        <v>1</v>
      </c>
      <c r="AC3" s="93" t="s">
        <v>165</v>
      </c>
    </row>
    <row r="4" spans="2:29" ht="28.5" x14ac:dyDescent="0.2">
      <c r="B4" s="125">
        <v>1</v>
      </c>
      <c r="C4" s="126" t="s">
        <v>333</v>
      </c>
      <c r="D4" s="126" t="s">
        <v>334</v>
      </c>
      <c r="E4" s="126" t="s">
        <v>337</v>
      </c>
      <c r="F4" s="127" t="s">
        <v>335</v>
      </c>
      <c r="G4" s="128">
        <v>1</v>
      </c>
      <c r="Z4" s="94" t="s">
        <v>375</v>
      </c>
      <c r="AB4" s="91">
        <v>2</v>
      </c>
      <c r="AC4" s="93" t="s">
        <v>166</v>
      </c>
    </row>
    <row r="5" spans="2:29" ht="14.25" x14ac:dyDescent="0.2">
      <c r="B5" s="129">
        <v>2</v>
      </c>
      <c r="C5" s="130" t="s">
        <v>329</v>
      </c>
      <c r="D5" s="130" t="s">
        <v>330</v>
      </c>
      <c r="E5" s="130" t="s">
        <v>331</v>
      </c>
      <c r="F5" s="131" t="s">
        <v>341</v>
      </c>
      <c r="G5" s="132">
        <v>2</v>
      </c>
      <c r="Z5" s="95" t="s">
        <v>367</v>
      </c>
      <c r="AB5" s="91">
        <v>3</v>
      </c>
      <c r="AC5" s="93" t="s">
        <v>167</v>
      </c>
    </row>
    <row r="6" spans="2:29" ht="14.25" x14ac:dyDescent="0.2">
      <c r="B6" s="129">
        <v>3</v>
      </c>
      <c r="C6" s="130" t="s">
        <v>320</v>
      </c>
      <c r="D6" s="130" t="s">
        <v>321</v>
      </c>
      <c r="E6" s="130" t="s">
        <v>322</v>
      </c>
      <c r="F6" s="131" t="s">
        <v>318</v>
      </c>
      <c r="G6" s="132">
        <v>3</v>
      </c>
      <c r="Z6" s="95" t="s">
        <v>376</v>
      </c>
      <c r="AB6" s="91">
        <v>4</v>
      </c>
      <c r="AC6" s="93" t="s">
        <v>294</v>
      </c>
    </row>
    <row r="7" spans="2:29" ht="57" x14ac:dyDescent="0.2">
      <c r="B7" s="129">
        <v>4</v>
      </c>
      <c r="C7" s="130" t="s">
        <v>338</v>
      </c>
      <c r="D7" s="130" t="s">
        <v>316</v>
      </c>
      <c r="E7" s="130" t="s">
        <v>327</v>
      </c>
      <c r="F7" s="131" t="s">
        <v>323</v>
      </c>
      <c r="G7" s="132">
        <v>4</v>
      </c>
      <c r="Z7" s="94" t="s">
        <v>391</v>
      </c>
      <c r="AB7" s="91">
        <v>5</v>
      </c>
      <c r="AC7" s="93" t="s">
        <v>295</v>
      </c>
    </row>
    <row r="8" spans="2:29" ht="14.25" x14ac:dyDescent="0.2">
      <c r="B8" s="129">
        <v>5</v>
      </c>
      <c r="C8" s="130" t="s">
        <v>315</v>
      </c>
      <c r="D8" s="130" t="s">
        <v>325</v>
      </c>
      <c r="E8" s="130" t="s">
        <v>317</v>
      </c>
      <c r="F8" s="131" t="s">
        <v>326</v>
      </c>
      <c r="G8" s="132">
        <v>5</v>
      </c>
      <c r="Z8" s="96" t="s">
        <v>377</v>
      </c>
    </row>
    <row r="9" spans="2:29" ht="43.5" x14ac:dyDescent="0.2">
      <c r="B9" s="129" t="s">
        <v>342</v>
      </c>
      <c r="C9" s="130" t="s">
        <v>339</v>
      </c>
      <c r="D9" s="130" t="s">
        <v>339</v>
      </c>
      <c r="E9" s="130" t="s">
        <v>339</v>
      </c>
      <c r="F9" s="131" t="s">
        <v>339</v>
      </c>
      <c r="G9" s="132" t="s">
        <v>342</v>
      </c>
      <c r="Z9" s="97" t="s">
        <v>384</v>
      </c>
    </row>
    <row r="10" spans="2:29" ht="15" thickBot="1" x14ac:dyDescent="0.25">
      <c r="B10" s="133" t="s">
        <v>343</v>
      </c>
      <c r="C10" s="134" t="s">
        <v>332</v>
      </c>
      <c r="D10" s="134" t="s">
        <v>332</v>
      </c>
      <c r="E10" s="134" t="s">
        <v>332</v>
      </c>
      <c r="F10" s="135" t="s">
        <v>332</v>
      </c>
      <c r="G10" s="136" t="s">
        <v>343</v>
      </c>
      <c r="Z10" s="95" t="s">
        <v>378</v>
      </c>
    </row>
    <row r="11" spans="2:29" ht="15.75" thickTop="1" x14ac:dyDescent="0.2">
      <c r="Z11" s="98" t="s">
        <v>379</v>
      </c>
    </row>
    <row r="12" spans="2:29" s="99" customFormat="1" ht="39" customHeight="1" thickBot="1" x14ac:dyDescent="0.3">
      <c r="B12" s="194" t="s">
        <v>303</v>
      </c>
      <c r="C12" s="295" t="s">
        <v>344</v>
      </c>
      <c r="D12" s="296"/>
      <c r="E12" s="296"/>
      <c r="F12" s="297"/>
      <c r="G12" s="298" t="s">
        <v>304</v>
      </c>
      <c r="H12" s="296"/>
      <c r="I12" s="296"/>
      <c r="J12" s="296"/>
      <c r="K12" s="292" t="s">
        <v>350</v>
      </c>
      <c r="L12" s="292" t="s">
        <v>351</v>
      </c>
      <c r="N12" s="194" t="s">
        <v>305</v>
      </c>
      <c r="O12" s="295" t="s">
        <v>344</v>
      </c>
      <c r="P12" s="296"/>
      <c r="Q12" s="296"/>
      <c r="R12" s="297"/>
      <c r="S12" s="298" t="s">
        <v>304</v>
      </c>
      <c r="T12" s="296"/>
      <c r="U12" s="296"/>
      <c r="V12" s="299"/>
      <c r="W12" s="294" t="s">
        <v>350</v>
      </c>
      <c r="X12" s="294" t="s">
        <v>351</v>
      </c>
      <c r="Z12" s="94" t="s">
        <v>380</v>
      </c>
    </row>
    <row r="13" spans="2:29" s="102" customFormat="1" ht="27" thickTop="1" thickBot="1" x14ac:dyDescent="0.3">
      <c r="B13" s="194" t="s">
        <v>306</v>
      </c>
      <c r="C13" s="100" t="s">
        <v>310</v>
      </c>
      <c r="D13" s="101" t="s">
        <v>311</v>
      </c>
      <c r="E13" s="101" t="s">
        <v>312</v>
      </c>
      <c r="F13" s="101" t="s">
        <v>313</v>
      </c>
      <c r="G13" s="101" t="s">
        <v>310</v>
      </c>
      <c r="H13" s="101" t="s">
        <v>311</v>
      </c>
      <c r="I13" s="101" t="s">
        <v>312</v>
      </c>
      <c r="J13" s="194" t="s">
        <v>313</v>
      </c>
      <c r="K13" s="293"/>
      <c r="L13" s="293"/>
      <c r="N13" s="194" t="s">
        <v>309</v>
      </c>
      <c r="O13" s="100" t="s">
        <v>310</v>
      </c>
      <c r="P13" s="101" t="s">
        <v>311</v>
      </c>
      <c r="Q13" s="101" t="s">
        <v>312</v>
      </c>
      <c r="R13" s="101" t="s">
        <v>313</v>
      </c>
      <c r="S13" s="101" t="s">
        <v>310</v>
      </c>
      <c r="T13" s="101" t="s">
        <v>311</v>
      </c>
      <c r="U13" s="101" t="s">
        <v>312</v>
      </c>
      <c r="V13" s="103" t="s">
        <v>313</v>
      </c>
      <c r="W13" s="295"/>
      <c r="X13" s="295"/>
      <c r="Z13" s="95" t="s">
        <v>381</v>
      </c>
    </row>
    <row r="14" spans="2:29" ht="29.25" thickTop="1" x14ac:dyDescent="0.2">
      <c r="B14" s="104">
        <v>1.4</v>
      </c>
      <c r="C14" s="104"/>
      <c r="D14" s="104"/>
      <c r="E14" s="104"/>
      <c r="F14" s="104"/>
      <c r="G14" s="116" t="e">
        <f>VLOOKUP(C14,$C$4:$G$10,5,FALSE)</f>
        <v>#N/A</v>
      </c>
      <c r="H14" s="116" t="e">
        <f>VLOOKUP(D14,$D$4:$G$10,4,FALSE)</f>
        <v>#N/A</v>
      </c>
      <c r="I14" s="116" t="e">
        <f>VLOOKUP(E14,$E$4:$G$10,3,FALSE)</f>
        <v>#N/A</v>
      </c>
      <c r="J14" s="116" t="e">
        <f>VLOOKUP(F14,$F$4:$G$10,2,FALSE)</f>
        <v>#N/A</v>
      </c>
      <c r="K14" s="116" t="e">
        <f>ROUND(AVERAGE(G14:J14),0)</f>
        <v>#N/A</v>
      </c>
      <c r="L14" s="105" t="e">
        <f>K14</f>
        <v>#N/A</v>
      </c>
      <c r="N14" s="106">
        <v>1.1000000000000001</v>
      </c>
      <c r="O14" s="106"/>
      <c r="P14" s="106"/>
      <c r="Q14" s="106"/>
      <c r="R14" s="106"/>
      <c r="S14" s="119" t="e">
        <f>VLOOKUP(O14,$C$4:$G$10,5,FALSE)</f>
        <v>#N/A</v>
      </c>
      <c r="T14" s="119" t="e">
        <f>VLOOKUP(P14,$D$4:$G$10,4,FALSE)</f>
        <v>#N/A</v>
      </c>
      <c r="U14" s="119" t="e">
        <f>VLOOKUP(Q14,$E$4:$G$10,3,FALSE)</f>
        <v>#N/A</v>
      </c>
      <c r="V14" s="119" t="e">
        <f>VLOOKUP(R14,$F$4:$G$10,2,FALSE)</f>
        <v>#N/A</v>
      </c>
      <c r="W14" s="119" t="e">
        <f>ROUND(AVERAGE(S14:V14),0)</f>
        <v>#N/A</v>
      </c>
      <c r="X14" s="107" t="e">
        <f>W14</f>
        <v>#N/A</v>
      </c>
      <c r="Z14" s="94" t="s">
        <v>349</v>
      </c>
    </row>
    <row r="15" spans="2:29" ht="14.25" x14ac:dyDescent="0.2">
      <c r="B15" s="108">
        <v>1.6</v>
      </c>
      <c r="C15" s="108"/>
      <c r="D15" s="108"/>
      <c r="E15" s="108"/>
      <c r="F15" s="108"/>
      <c r="G15" s="117" t="e">
        <f t="shared" ref="G15:G56" si="0">VLOOKUP(C15,$C$4:$G$10,5,FALSE)</f>
        <v>#N/A</v>
      </c>
      <c r="H15" s="117" t="e">
        <f t="shared" ref="H15:H56" si="1">VLOOKUP(D15,$D$4:$G$10,4,FALSE)</f>
        <v>#N/A</v>
      </c>
      <c r="I15" s="117" t="e">
        <f t="shared" ref="I15:I56" si="2">VLOOKUP(E15,$E$4:$G$10,3,FALSE)</f>
        <v>#N/A</v>
      </c>
      <c r="J15" s="117" t="e">
        <f t="shared" ref="J15:J56" si="3">VLOOKUP(F15,$F$4:$G$10,2,FALSE)</f>
        <v>#N/A</v>
      </c>
      <c r="K15" s="117" t="e">
        <f t="shared" ref="K15:K56" si="4">ROUND(AVERAGE(G15:J15),0)</f>
        <v>#N/A</v>
      </c>
      <c r="L15" s="109" t="e">
        <f t="shared" ref="L15:L56" si="5">K15</f>
        <v>#N/A</v>
      </c>
      <c r="N15" s="108">
        <v>1.2</v>
      </c>
      <c r="O15" s="108"/>
      <c r="P15" s="108"/>
      <c r="Q15" s="108"/>
      <c r="R15" s="108"/>
      <c r="S15" s="117" t="e">
        <f t="shared" ref="S15:S69" si="6">VLOOKUP(O15,$C$4:$G$10,5,FALSE)</f>
        <v>#N/A</v>
      </c>
      <c r="T15" s="117" t="e">
        <f t="shared" ref="T15:T69" si="7">VLOOKUP(P15,$D$4:$G$10,4,FALSE)</f>
        <v>#N/A</v>
      </c>
      <c r="U15" s="117" t="e">
        <f t="shared" ref="U15:U69" si="8">VLOOKUP(Q15,$E$4:$G$10,3,FALSE)</f>
        <v>#N/A</v>
      </c>
      <c r="V15" s="117" t="e">
        <f t="shared" ref="V15:V69" si="9">VLOOKUP(R15,$F$4:$G$10,2,FALSE)</f>
        <v>#N/A</v>
      </c>
      <c r="W15" s="117" t="e">
        <f t="shared" ref="W15:W69" si="10">ROUND(AVERAGE(S15:V15),0)</f>
        <v>#N/A</v>
      </c>
      <c r="X15" s="109" t="e">
        <f t="shared" ref="X15:X69" si="11">W15</f>
        <v>#N/A</v>
      </c>
      <c r="Z15" s="95" t="s">
        <v>382</v>
      </c>
    </row>
    <row r="16" spans="2:29" ht="42.75" x14ac:dyDescent="0.2">
      <c r="B16" s="104">
        <v>2.1</v>
      </c>
      <c r="C16" s="104"/>
      <c r="D16" s="104"/>
      <c r="E16" s="104"/>
      <c r="F16" s="104"/>
      <c r="G16" s="116" t="e">
        <f t="shared" si="0"/>
        <v>#N/A</v>
      </c>
      <c r="H16" s="116" t="e">
        <f t="shared" si="1"/>
        <v>#N/A</v>
      </c>
      <c r="I16" s="116" t="e">
        <f t="shared" si="2"/>
        <v>#N/A</v>
      </c>
      <c r="J16" s="116" t="e">
        <f t="shared" si="3"/>
        <v>#N/A</v>
      </c>
      <c r="K16" s="116" t="e">
        <f>ROUND(AVERAGE(G16:J16),0)</f>
        <v>#N/A</v>
      </c>
      <c r="L16" s="105" t="e">
        <f>K16</f>
        <v>#N/A</v>
      </c>
      <c r="N16" s="104">
        <v>2.1</v>
      </c>
      <c r="O16" s="104"/>
      <c r="P16" s="104"/>
      <c r="Q16" s="104"/>
      <c r="R16" s="104"/>
      <c r="S16" s="116" t="e">
        <f t="shared" si="6"/>
        <v>#N/A</v>
      </c>
      <c r="T16" s="116" t="e">
        <f t="shared" si="7"/>
        <v>#N/A</v>
      </c>
      <c r="U16" s="116" t="e">
        <f t="shared" si="8"/>
        <v>#N/A</v>
      </c>
      <c r="V16" s="116" t="e">
        <f t="shared" si="9"/>
        <v>#N/A</v>
      </c>
      <c r="W16" s="116" t="e">
        <f t="shared" si="10"/>
        <v>#N/A</v>
      </c>
      <c r="X16" s="105" t="e">
        <f t="shared" si="11"/>
        <v>#N/A</v>
      </c>
      <c r="Z16" s="94" t="s">
        <v>423</v>
      </c>
    </row>
    <row r="17" spans="2:26" ht="14.25" x14ac:dyDescent="0.2">
      <c r="B17" s="108">
        <v>2.2000000000000002</v>
      </c>
      <c r="C17" s="108"/>
      <c r="D17" s="108"/>
      <c r="E17" s="108"/>
      <c r="F17" s="108"/>
      <c r="G17" s="117" t="e">
        <f t="shared" si="0"/>
        <v>#N/A</v>
      </c>
      <c r="H17" s="117" t="e">
        <f t="shared" si="1"/>
        <v>#N/A</v>
      </c>
      <c r="I17" s="117" t="e">
        <f t="shared" si="2"/>
        <v>#N/A</v>
      </c>
      <c r="J17" s="117" t="e">
        <f t="shared" si="3"/>
        <v>#N/A</v>
      </c>
      <c r="K17" s="117" t="e">
        <f t="shared" si="4"/>
        <v>#N/A</v>
      </c>
      <c r="L17" s="109" t="e">
        <f t="shared" si="5"/>
        <v>#N/A</v>
      </c>
      <c r="N17" s="108">
        <v>2.2000000000000002</v>
      </c>
      <c r="O17" s="108"/>
      <c r="P17" s="108"/>
      <c r="Q17" s="108"/>
      <c r="R17" s="108"/>
      <c r="S17" s="117" t="e">
        <f t="shared" si="6"/>
        <v>#N/A</v>
      </c>
      <c r="T17" s="117" t="e">
        <f t="shared" si="7"/>
        <v>#N/A</v>
      </c>
      <c r="U17" s="117" t="e">
        <f t="shared" si="8"/>
        <v>#N/A</v>
      </c>
      <c r="V17" s="117" t="e">
        <f t="shared" si="9"/>
        <v>#N/A</v>
      </c>
      <c r="W17" s="117" t="e">
        <f t="shared" si="10"/>
        <v>#N/A</v>
      </c>
      <c r="X17" s="109" t="e">
        <f t="shared" si="11"/>
        <v>#N/A</v>
      </c>
      <c r="Z17" s="92" t="s">
        <v>352</v>
      </c>
    </row>
    <row r="18" spans="2:26" ht="42.75" x14ac:dyDescent="0.2">
      <c r="B18" s="104">
        <v>2.6</v>
      </c>
      <c r="C18" s="104"/>
      <c r="D18" s="104"/>
      <c r="E18" s="104"/>
      <c r="F18" s="104"/>
      <c r="G18" s="116" t="e">
        <f t="shared" si="0"/>
        <v>#N/A</v>
      </c>
      <c r="H18" s="116" t="e">
        <f t="shared" si="1"/>
        <v>#N/A</v>
      </c>
      <c r="I18" s="116" t="e">
        <f t="shared" si="2"/>
        <v>#N/A</v>
      </c>
      <c r="J18" s="116" t="e">
        <f t="shared" si="3"/>
        <v>#N/A</v>
      </c>
      <c r="K18" s="116" t="e">
        <f t="shared" si="4"/>
        <v>#N/A</v>
      </c>
      <c r="L18" s="105" t="e">
        <f t="shared" si="5"/>
        <v>#N/A</v>
      </c>
      <c r="N18" s="104">
        <v>2.2999999999999998</v>
      </c>
      <c r="O18" s="104"/>
      <c r="P18" s="104"/>
      <c r="Q18" s="104"/>
      <c r="R18" s="104"/>
      <c r="S18" s="116" t="e">
        <f t="shared" si="6"/>
        <v>#N/A</v>
      </c>
      <c r="T18" s="116" t="e">
        <f t="shared" si="7"/>
        <v>#N/A</v>
      </c>
      <c r="U18" s="116" t="e">
        <f t="shared" si="8"/>
        <v>#N/A</v>
      </c>
      <c r="V18" s="116" t="e">
        <f t="shared" si="9"/>
        <v>#N/A</v>
      </c>
      <c r="W18" s="116" t="e">
        <f t="shared" si="10"/>
        <v>#N/A</v>
      </c>
      <c r="X18" s="105" t="e">
        <f t="shared" si="11"/>
        <v>#N/A</v>
      </c>
      <c r="Z18" s="98" t="s">
        <v>354</v>
      </c>
    </row>
    <row r="19" spans="2:26" ht="14.25" x14ac:dyDescent="0.2">
      <c r="B19" s="108">
        <v>3.4</v>
      </c>
      <c r="C19" s="108"/>
      <c r="D19" s="108"/>
      <c r="E19" s="108"/>
      <c r="F19" s="108"/>
      <c r="G19" s="117" t="e">
        <f t="shared" si="0"/>
        <v>#N/A</v>
      </c>
      <c r="H19" s="117" t="e">
        <f t="shared" si="1"/>
        <v>#N/A</v>
      </c>
      <c r="I19" s="117" t="e">
        <f t="shared" si="2"/>
        <v>#N/A</v>
      </c>
      <c r="J19" s="117" t="e">
        <f t="shared" si="3"/>
        <v>#N/A</v>
      </c>
      <c r="K19" s="117" t="e">
        <f t="shared" si="4"/>
        <v>#N/A</v>
      </c>
      <c r="L19" s="109" t="e">
        <f t="shared" si="5"/>
        <v>#N/A</v>
      </c>
      <c r="N19" s="108">
        <v>3.1</v>
      </c>
      <c r="O19" s="108"/>
      <c r="P19" s="108"/>
      <c r="Q19" s="108"/>
      <c r="R19" s="108"/>
      <c r="S19" s="117" t="e">
        <f t="shared" si="6"/>
        <v>#N/A</v>
      </c>
      <c r="T19" s="117" t="e">
        <f t="shared" si="7"/>
        <v>#N/A</v>
      </c>
      <c r="U19" s="117" t="e">
        <f t="shared" si="8"/>
        <v>#N/A</v>
      </c>
      <c r="V19" s="117" t="e">
        <f t="shared" si="9"/>
        <v>#N/A</v>
      </c>
      <c r="W19" s="117" t="e">
        <f t="shared" si="10"/>
        <v>#N/A</v>
      </c>
      <c r="X19" s="109" t="e">
        <f t="shared" si="11"/>
        <v>#N/A</v>
      </c>
      <c r="Z19" s="95" t="s">
        <v>383</v>
      </c>
    </row>
    <row r="20" spans="2:26" ht="44.25" thickBot="1" x14ac:dyDescent="0.25">
      <c r="B20" s="104">
        <v>3.5</v>
      </c>
      <c r="C20" s="104"/>
      <c r="D20" s="104"/>
      <c r="E20" s="104"/>
      <c r="F20" s="104"/>
      <c r="G20" s="116" t="e">
        <f t="shared" si="0"/>
        <v>#N/A</v>
      </c>
      <c r="H20" s="116" t="e">
        <f t="shared" si="1"/>
        <v>#N/A</v>
      </c>
      <c r="I20" s="116" t="e">
        <f t="shared" si="2"/>
        <v>#N/A</v>
      </c>
      <c r="J20" s="116" t="e">
        <f t="shared" si="3"/>
        <v>#N/A</v>
      </c>
      <c r="K20" s="116" t="e">
        <f t="shared" si="4"/>
        <v>#N/A</v>
      </c>
      <c r="L20" s="105" t="e">
        <f t="shared" si="5"/>
        <v>#N/A</v>
      </c>
      <c r="N20" s="104">
        <v>3.2</v>
      </c>
      <c r="O20" s="104"/>
      <c r="P20" s="104"/>
      <c r="Q20" s="104"/>
      <c r="R20" s="104"/>
      <c r="S20" s="116" t="e">
        <f t="shared" si="6"/>
        <v>#N/A</v>
      </c>
      <c r="T20" s="116" t="e">
        <f t="shared" si="7"/>
        <v>#N/A</v>
      </c>
      <c r="U20" s="116" t="e">
        <f t="shared" si="8"/>
        <v>#N/A</v>
      </c>
      <c r="V20" s="116" t="e">
        <f t="shared" si="9"/>
        <v>#N/A</v>
      </c>
      <c r="W20" s="116" t="e">
        <f t="shared" si="10"/>
        <v>#N/A</v>
      </c>
      <c r="X20" s="105" t="e">
        <f t="shared" si="11"/>
        <v>#N/A</v>
      </c>
      <c r="Z20" s="110" t="s">
        <v>363</v>
      </c>
    </row>
    <row r="21" spans="2:26" x14ac:dyDescent="0.2">
      <c r="B21" s="108">
        <v>4.2</v>
      </c>
      <c r="C21" s="108"/>
      <c r="D21" s="108"/>
      <c r="E21" s="108"/>
      <c r="F21" s="108"/>
      <c r="G21" s="117" t="e">
        <f t="shared" si="0"/>
        <v>#N/A</v>
      </c>
      <c r="H21" s="117" t="e">
        <f t="shared" si="1"/>
        <v>#N/A</v>
      </c>
      <c r="I21" s="117" t="e">
        <f t="shared" si="2"/>
        <v>#N/A</v>
      </c>
      <c r="J21" s="117" t="e">
        <f t="shared" si="3"/>
        <v>#N/A</v>
      </c>
      <c r="K21" s="117" t="e">
        <f t="shared" si="4"/>
        <v>#N/A</v>
      </c>
      <c r="L21" s="109" t="e">
        <f t="shared" si="5"/>
        <v>#N/A</v>
      </c>
      <c r="N21" s="108">
        <v>3.3</v>
      </c>
      <c r="O21" s="108"/>
      <c r="P21" s="108"/>
      <c r="Q21" s="108"/>
      <c r="R21" s="108"/>
      <c r="S21" s="117" t="e">
        <f t="shared" si="6"/>
        <v>#N/A</v>
      </c>
      <c r="T21" s="117" t="e">
        <f t="shared" si="7"/>
        <v>#N/A</v>
      </c>
      <c r="U21" s="117" t="e">
        <f t="shared" si="8"/>
        <v>#N/A</v>
      </c>
      <c r="V21" s="117" t="e">
        <f t="shared" si="9"/>
        <v>#N/A</v>
      </c>
      <c r="W21" s="117" t="e">
        <f t="shared" si="10"/>
        <v>#N/A</v>
      </c>
      <c r="X21" s="109" t="e">
        <f t="shared" si="11"/>
        <v>#N/A</v>
      </c>
    </row>
    <row r="22" spans="2:26" x14ac:dyDescent="0.2">
      <c r="B22" s="104">
        <v>4.3</v>
      </c>
      <c r="C22" s="104"/>
      <c r="D22" s="104"/>
      <c r="E22" s="104"/>
      <c r="F22" s="104"/>
      <c r="G22" s="116" t="e">
        <f t="shared" si="0"/>
        <v>#N/A</v>
      </c>
      <c r="H22" s="116" t="e">
        <f t="shared" si="1"/>
        <v>#N/A</v>
      </c>
      <c r="I22" s="116" t="e">
        <f t="shared" si="2"/>
        <v>#N/A</v>
      </c>
      <c r="J22" s="116" t="e">
        <f t="shared" si="3"/>
        <v>#N/A</v>
      </c>
      <c r="K22" s="116" t="e">
        <f t="shared" si="4"/>
        <v>#N/A</v>
      </c>
      <c r="L22" s="105" t="e">
        <f t="shared" si="5"/>
        <v>#N/A</v>
      </c>
      <c r="N22" s="104">
        <v>3.4</v>
      </c>
      <c r="O22" s="104"/>
      <c r="P22" s="104"/>
      <c r="Q22" s="104"/>
      <c r="R22" s="104"/>
      <c r="S22" s="116" t="e">
        <f t="shared" si="6"/>
        <v>#N/A</v>
      </c>
      <c r="T22" s="116" t="e">
        <f t="shared" si="7"/>
        <v>#N/A</v>
      </c>
      <c r="U22" s="116" t="e">
        <f t="shared" si="8"/>
        <v>#N/A</v>
      </c>
      <c r="V22" s="116" t="e">
        <f t="shared" si="9"/>
        <v>#N/A</v>
      </c>
      <c r="W22" s="116" t="e">
        <f t="shared" si="10"/>
        <v>#N/A</v>
      </c>
      <c r="X22" s="105" t="e">
        <f t="shared" si="11"/>
        <v>#N/A</v>
      </c>
    </row>
    <row r="23" spans="2:26" x14ac:dyDescent="0.2">
      <c r="B23" s="108">
        <v>5.0999999999999996</v>
      </c>
      <c r="C23" s="108"/>
      <c r="D23" s="108"/>
      <c r="E23" s="108"/>
      <c r="F23" s="108"/>
      <c r="G23" s="117" t="e">
        <f t="shared" si="0"/>
        <v>#N/A</v>
      </c>
      <c r="H23" s="117" t="e">
        <f t="shared" si="1"/>
        <v>#N/A</v>
      </c>
      <c r="I23" s="117" t="e">
        <f t="shared" si="2"/>
        <v>#N/A</v>
      </c>
      <c r="J23" s="117" t="e">
        <f t="shared" si="3"/>
        <v>#N/A</v>
      </c>
      <c r="K23" s="117" t="e">
        <f t="shared" si="4"/>
        <v>#N/A</v>
      </c>
      <c r="L23" s="109" t="e">
        <f t="shared" si="5"/>
        <v>#N/A</v>
      </c>
      <c r="N23" s="108">
        <v>3.5</v>
      </c>
      <c r="O23" s="108"/>
      <c r="P23" s="108"/>
      <c r="Q23" s="108"/>
      <c r="R23" s="108"/>
      <c r="S23" s="117" t="e">
        <f t="shared" si="6"/>
        <v>#N/A</v>
      </c>
      <c r="T23" s="117" t="e">
        <f t="shared" si="7"/>
        <v>#N/A</v>
      </c>
      <c r="U23" s="117" t="e">
        <f t="shared" si="8"/>
        <v>#N/A</v>
      </c>
      <c r="V23" s="117" t="e">
        <f t="shared" si="9"/>
        <v>#N/A</v>
      </c>
      <c r="W23" s="117" t="e">
        <f t="shared" si="10"/>
        <v>#N/A</v>
      </c>
      <c r="X23" s="109" t="e">
        <f t="shared" si="11"/>
        <v>#N/A</v>
      </c>
    </row>
    <row r="24" spans="2:26" x14ac:dyDescent="0.2">
      <c r="B24" s="104">
        <v>6.2</v>
      </c>
      <c r="C24" s="104"/>
      <c r="D24" s="104"/>
      <c r="E24" s="104"/>
      <c r="F24" s="104"/>
      <c r="G24" s="116" t="e">
        <f t="shared" si="0"/>
        <v>#N/A</v>
      </c>
      <c r="H24" s="116" t="e">
        <f t="shared" si="1"/>
        <v>#N/A</v>
      </c>
      <c r="I24" s="116" t="e">
        <f t="shared" si="2"/>
        <v>#N/A</v>
      </c>
      <c r="J24" s="116" t="e">
        <f t="shared" si="3"/>
        <v>#N/A</v>
      </c>
      <c r="K24" s="116" t="e">
        <f t="shared" si="4"/>
        <v>#N/A</v>
      </c>
      <c r="L24" s="105" t="e">
        <f t="shared" si="5"/>
        <v>#N/A</v>
      </c>
      <c r="N24" s="104">
        <v>3.6</v>
      </c>
      <c r="O24" s="104"/>
      <c r="P24" s="104"/>
      <c r="Q24" s="104"/>
      <c r="R24" s="104"/>
      <c r="S24" s="116" t="e">
        <f t="shared" si="6"/>
        <v>#N/A</v>
      </c>
      <c r="T24" s="116" t="e">
        <f t="shared" si="7"/>
        <v>#N/A</v>
      </c>
      <c r="U24" s="116" t="e">
        <f t="shared" si="8"/>
        <v>#N/A</v>
      </c>
      <c r="V24" s="116" t="e">
        <f t="shared" si="9"/>
        <v>#N/A</v>
      </c>
      <c r="W24" s="116" t="e">
        <f t="shared" si="10"/>
        <v>#N/A</v>
      </c>
      <c r="X24" s="105" t="e">
        <f t="shared" si="11"/>
        <v>#N/A</v>
      </c>
    </row>
    <row r="25" spans="2:26" x14ac:dyDescent="0.2">
      <c r="B25" s="108">
        <v>7.1</v>
      </c>
      <c r="C25" s="108"/>
      <c r="D25" s="108"/>
      <c r="E25" s="108"/>
      <c r="F25" s="108"/>
      <c r="G25" s="117" t="e">
        <f t="shared" si="0"/>
        <v>#N/A</v>
      </c>
      <c r="H25" s="117" t="e">
        <f t="shared" si="1"/>
        <v>#N/A</v>
      </c>
      <c r="I25" s="117" t="e">
        <f t="shared" si="2"/>
        <v>#N/A</v>
      </c>
      <c r="J25" s="117" t="e">
        <f t="shared" si="3"/>
        <v>#N/A</v>
      </c>
      <c r="K25" s="117" t="e">
        <f t="shared" si="4"/>
        <v>#N/A</v>
      </c>
      <c r="L25" s="109" t="e">
        <f t="shared" si="5"/>
        <v>#N/A</v>
      </c>
      <c r="N25" s="108">
        <v>4.0999999999999996</v>
      </c>
      <c r="O25" s="108"/>
      <c r="P25" s="108"/>
      <c r="Q25" s="108"/>
      <c r="R25" s="108"/>
      <c r="S25" s="117" t="e">
        <f t="shared" si="6"/>
        <v>#N/A</v>
      </c>
      <c r="T25" s="117" t="e">
        <f t="shared" si="7"/>
        <v>#N/A</v>
      </c>
      <c r="U25" s="117" t="e">
        <f t="shared" si="8"/>
        <v>#N/A</v>
      </c>
      <c r="V25" s="117" t="e">
        <f t="shared" si="9"/>
        <v>#N/A</v>
      </c>
      <c r="W25" s="117" t="e">
        <f t="shared" si="10"/>
        <v>#N/A</v>
      </c>
      <c r="X25" s="109" t="e">
        <f t="shared" si="11"/>
        <v>#N/A</v>
      </c>
    </row>
    <row r="26" spans="2:26" x14ac:dyDescent="0.2">
      <c r="B26" s="104">
        <v>7.7</v>
      </c>
      <c r="C26" s="104"/>
      <c r="D26" s="104"/>
      <c r="E26" s="104"/>
      <c r="F26" s="104"/>
      <c r="G26" s="116" t="e">
        <f t="shared" si="0"/>
        <v>#N/A</v>
      </c>
      <c r="H26" s="116" t="e">
        <f t="shared" si="1"/>
        <v>#N/A</v>
      </c>
      <c r="I26" s="116" t="e">
        <f t="shared" si="2"/>
        <v>#N/A</v>
      </c>
      <c r="J26" s="116" t="e">
        <f t="shared" si="3"/>
        <v>#N/A</v>
      </c>
      <c r="K26" s="116" t="e">
        <f t="shared" si="4"/>
        <v>#N/A</v>
      </c>
      <c r="L26" s="105" t="e">
        <f t="shared" si="5"/>
        <v>#N/A</v>
      </c>
      <c r="N26" s="104">
        <v>4.2</v>
      </c>
      <c r="O26" s="104"/>
      <c r="P26" s="104"/>
      <c r="Q26" s="104"/>
      <c r="R26" s="104"/>
      <c r="S26" s="116" t="e">
        <f t="shared" si="6"/>
        <v>#N/A</v>
      </c>
      <c r="T26" s="116" t="e">
        <f t="shared" si="7"/>
        <v>#N/A</v>
      </c>
      <c r="U26" s="116" t="e">
        <f t="shared" si="8"/>
        <v>#N/A</v>
      </c>
      <c r="V26" s="116" t="e">
        <f t="shared" si="9"/>
        <v>#N/A</v>
      </c>
      <c r="W26" s="116" t="e">
        <f t="shared" si="10"/>
        <v>#N/A</v>
      </c>
      <c r="X26" s="105" t="e">
        <f t="shared" si="11"/>
        <v>#N/A</v>
      </c>
    </row>
    <row r="27" spans="2:26" x14ac:dyDescent="0.2">
      <c r="B27" s="108">
        <v>8.1999999999999993</v>
      </c>
      <c r="C27" s="108"/>
      <c r="D27" s="108"/>
      <c r="E27" s="108"/>
      <c r="F27" s="108"/>
      <c r="G27" s="117" t="e">
        <f t="shared" si="0"/>
        <v>#N/A</v>
      </c>
      <c r="H27" s="117" t="e">
        <f t="shared" si="1"/>
        <v>#N/A</v>
      </c>
      <c r="I27" s="117" t="e">
        <f t="shared" si="2"/>
        <v>#N/A</v>
      </c>
      <c r="J27" s="117" t="e">
        <f t="shared" si="3"/>
        <v>#N/A</v>
      </c>
      <c r="K27" s="117" t="e">
        <f t="shared" si="4"/>
        <v>#N/A</v>
      </c>
      <c r="L27" s="109" t="e">
        <f t="shared" si="5"/>
        <v>#N/A</v>
      </c>
      <c r="N27" s="108">
        <v>4.3</v>
      </c>
      <c r="O27" s="108"/>
      <c r="P27" s="108"/>
      <c r="Q27" s="108"/>
      <c r="R27" s="108"/>
      <c r="S27" s="117" t="e">
        <f t="shared" si="6"/>
        <v>#N/A</v>
      </c>
      <c r="T27" s="117" t="e">
        <f t="shared" si="7"/>
        <v>#N/A</v>
      </c>
      <c r="U27" s="117" t="e">
        <f t="shared" si="8"/>
        <v>#N/A</v>
      </c>
      <c r="V27" s="117" t="e">
        <f t="shared" si="9"/>
        <v>#N/A</v>
      </c>
      <c r="W27" s="117" t="e">
        <f t="shared" si="10"/>
        <v>#N/A</v>
      </c>
      <c r="X27" s="109" t="e">
        <f t="shared" si="11"/>
        <v>#N/A</v>
      </c>
    </row>
    <row r="28" spans="2:26" x14ac:dyDescent="0.2">
      <c r="B28" s="104">
        <v>8.4</v>
      </c>
      <c r="C28" s="104"/>
      <c r="D28" s="104"/>
      <c r="E28" s="104"/>
      <c r="F28" s="104"/>
      <c r="G28" s="116" t="e">
        <f t="shared" si="0"/>
        <v>#N/A</v>
      </c>
      <c r="H28" s="116" t="e">
        <f t="shared" si="1"/>
        <v>#N/A</v>
      </c>
      <c r="I28" s="116" t="e">
        <f t="shared" si="2"/>
        <v>#N/A</v>
      </c>
      <c r="J28" s="116" t="e">
        <f t="shared" si="3"/>
        <v>#N/A</v>
      </c>
      <c r="K28" s="116" t="e">
        <f t="shared" si="4"/>
        <v>#N/A</v>
      </c>
      <c r="L28" s="105" t="e">
        <f t="shared" si="5"/>
        <v>#N/A</v>
      </c>
      <c r="N28" s="104">
        <v>4.4000000000000004</v>
      </c>
      <c r="O28" s="104"/>
      <c r="P28" s="104"/>
      <c r="Q28" s="104"/>
      <c r="R28" s="104"/>
      <c r="S28" s="116" t="e">
        <f t="shared" si="6"/>
        <v>#N/A</v>
      </c>
      <c r="T28" s="116" t="e">
        <f t="shared" si="7"/>
        <v>#N/A</v>
      </c>
      <c r="U28" s="116" t="e">
        <f t="shared" si="8"/>
        <v>#N/A</v>
      </c>
      <c r="V28" s="116" t="e">
        <f t="shared" si="9"/>
        <v>#N/A</v>
      </c>
      <c r="W28" s="116" t="e">
        <f t="shared" si="10"/>
        <v>#N/A</v>
      </c>
      <c r="X28" s="105" t="e">
        <f t="shared" si="11"/>
        <v>#N/A</v>
      </c>
    </row>
    <row r="29" spans="2:26" x14ac:dyDescent="0.2">
      <c r="B29" s="108">
        <v>8.5</v>
      </c>
      <c r="C29" s="108"/>
      <c r="D29" s="108"/>
      <c r="E29" s="108"/>
      <c r="F29" s="108"/>
      <c r="G29" s="117" t="e">
        <f t="shared" si="0"/>
        <v>#N/A</v>
      </c>
      <c r="H29" s="117" t="e">
        <f t="shared" si="1"/>
        <v>#N/A</v>
      </c>
      <c r="I29" s="117" t="e">
        <f t="shared" si="2"/>
        <v>#N/A</v>
      </c>
      <c r="J29" s="117" t="e">
        <f t="shared" si="3"/>
        <v>#N/A</v>
      </c>
      <c r="K29" s="117" t="e">
        <f t="shared" si="4"/>
        <v>#N/A</v>
      </c>
      <c r="L29" s="109" t="e">
        <f t="shared" si="5"/>
        <v>#N/A</v>
      </c>
      <c r="N29" s="108">
        <v>4.5</v>
      </c>
      <c r="O29" s="108"/>
      <c r="P29" s="108"/>
      <c r="Q29" s="108"/>
      <c r="R29" s="108"/>
      <c r="S29" s="117" t="e">
        <f t="shared" si="6"/>
        <v>#N/A</v>
      </c>
      <c r="T29" s="117" t="e">
        <f t="shared" si="7"/>
        <v>#N/A</v>
      </c>
      <c r="U29" s="117" t="e">
        <f t="shared" si="8"/>
        <v>#N/A</v>
      </c>
      <c r="V29" s="117" t="e">
        <f t="shared" si="9"/>
        <v>#N/A</v>
      </c>
      <c r="W29" s="117" t="e">
        <f t="shared" si="10"/>
        <v>#N/A</v>
      </c>
      <c r="X29" s="109" t="e">
        <f t="shared" si="11"/>
        <v>#N/A</v>
      </c>
    </row>
    <row r="30" spans="2:26" x14ac:dyDescent="0.2">
      <c r="B30" s="104">
        <v>9.4</v>
      </c>
      <c r="C30" s="104"/>
      <c r="D30" s="104"/>
      <c r="E30" s="104"/>
      <c r="F30" s="104"/>
      <c r="G30" s="116" t="e">
        <f t="shared" si="0"/>
        <v>#N/A</v>
      </c>
      <c r="H30" s="116" t="e">
        <f t="shared" si="1"/>
        <v>#N/A</v>
      </c>
      <c r="I30" s="116" t="e">
        <f t="shared" si="2"/>
        <v>#N/A</v>
      </c>
      <c r="J30" s="116" t="e">
        <f t="shared" si="3"/>
        <v>#N/A</v>
      </c>
      <c r="K30" s="116" t="e">
        <f t="shared" si="4"/>
        <v>#N/A</v>
      </c>
      <c r="L30" s="105" t="e">
        <f t="shared" si="5"/>
        <v>#N/A</v>
      </c>
      <c r="N30" s="104">
        <v>4.5999999999999996</v>
      </c>
      <c r="O30" s="104"/>
      <c r="P30" s="104"/>
      <c r="Q30" s="104"/>
      <c r="R30" s="104"/>
      <c r="S30" s="116" t="e">
        <f t="shared" si="6"/>
        <v>#N/A</v>
      </c>
      <c r="T30" s="116" t="e">
        <f t="shared" si="7"/>
        <v>#N/A</v>
      </c>
      <c r="U30" s="116" t="e">
        <f t="shared" si="8"/>
        <v>#N/A</v>
      </c>
      <c r="V30" s="116" t="e">
        <f t="shared" si="9"/>
        <v>#N/A</v>
      </c>
      <c r="W30" s="116" t="e">
        <f t="shared" si="10"/>
        <v>#N/A</v>
      </c>
      <c r="X30" s="105" t="e">
        <f t="shared" si="11"/>
        <v>#N/A</v>
      </c>
    </row>
    <row r="31" spans="2:26" x14ac:dyDescent="0.2">
      <c r="B31" s="108">
        <v>10.1</v>
      </c>
      <c r="C31" s="108"/>
      <c r="D31" s="108"/>
      <c r="E31" s="108"/>
      <c r="F31" s="108"/>
      <c r="G31" s="117" t="e">
        <f t="shared" si="0"/>
        <v>#N/A</v>
      </c>
      <c r="H31" s="117" t="e">
        <f t="shared" si="1"/>
        <v>#N/A</v>
      </c>
      <c r="I31" s="117" t="e">
        <f t="shared" si="2"/>
        <v>#N/A</v>
      </c>
      <c r="J31" s="117" t="e">
        <f t="shared" si="3"/>
        <v>#N/A</v>
      </c>
      <c r="K31" s="117" t="e">
        <f t="shared" si="4"/>
        <v>#N/A</v>
      </c>
      <c r="L31" s="109" t="e">
        <f t="shared" si="5"/>
        <v>#N/A</v>
      </c>
      <c r="N31" s="108">
        <v>4.7</v>
      </c>
      <c r="O31" s="108"/>
      <c r="P31" s="108"/>
      <c r="Q31" s="108"/>
      <c r="R31" s="108"/>
      <c r="S31" s="117" t="e">
        <f t="shared" si="6"/>
        <v>#N/A</v>
      </c>
      <c r="T31" s="117" t="e">
        <f t="shared" si="7"/>
        <v>#N/A</v>
      </c>
      <c r="U31" s="117" t="e">
        <f t="shared" si="8"/>
        <v>#N/A</v>
      </c>
      <c r="V31" s="117" t="e">
        <f t="shared" si="9"/>
        <v>#N/A</v>
      </c>
      <c r="W31" s="117" t="e">
        <f t="shared" si="10"/>
        <v>#N/A</v>
      </c>
      <c r="X31" s="109" t="e">
        <f t="shared" si="11"/>
        <v>#N/A</v>
      </c>
    </row>
    <row r="32" spans="2:26" x14ac:dyDescent="0.2">
      <c r="B32" s="104">
        <v>10.199999999999999</v>
      </c>
      <c r="C32" s="104"/>
      <c r="D32" s="104"/>
      <c r="E32" s="104"/>
      <c r="F32" s="104"/>
      <c r="G32" s="116" t="e">
        <f t="shared" si="0"/>
        <v>#N/A</v>
      </c>
      <c r="H32" s="116" t="e">
        <f t="shared" si="1"/>
        <v>#N/A</v>
      </c>
      <c r="I32" s="116" t="e">
        <f t="shared" si="2"/>
        <v>#N/A</v>
      </c>
      <c r="J32" s="116" t="e">
        <f t="shared" si="3"/>
        <v>#N/A</v>
      </c>
      <c r="K32" s="116" t="e">
        <f t="shared" si="4"/>
        <v>#N/A</v>
      </c>
      <c r="L32" s="105" t="e">
        <f t="shared" si="5"/>
        <v>#N/A</v>
      </c>
      <c r="N32" s="104">
        <v>5.0999999999999996</v>
      </c>
      <c r="O32" s="104"/>
      <c r="P32" s="104"/>
      <c r="Q32" s="104"/>
      <c r="R32" s="104"/>
      <c r="S32" s="116" t="e">
        <f t="shared" si="6"/>
        <v>#N/A</v>
      </c>
      <c r="T32" s="116" t="e">
        <f t="shared" si="7"/>
        <v>#N/A</v>
      </c>
      <c r="U32" s="116" t="e">
        <f t="shared" si="8"/>
        <v>#N/A</v>
      </c>
      <c r="V32" s="116" t="e">
        <f t="shared" si="9"/>
        <v>#N/A</v>
      </c>
      <c r="W32" s="116" t="e">
        <f t="shared" si="10"/>
        <v>#N/A</v>
      </c>
      <c r="X32" s="105" t="e">
        <f t="shared" si="11"/>
        <v>#N/A</v>
      </c>
    </row>
    <row r="33" spans="2:24" x14ac:dyDescent="0.2">
      <c r="B33" s="108">
        <v>10.4</v>
      </c>
      <c r="C33" s="108"/>
      <c r="D33" s="108"/>
      <c r="E33" s="108"/>
      <c r="F33" s="108"/>
      <c r="G33" s="117" t="e">
        <f t="shared" si="0"/>
        <v>#N/A</v>
      </c>
      <c r="H33" s="117" t="e">
        <f t="shared" si="1"/>
        <v>#N/A</v>
      </c>
      <c r="I33" s="117" t="e">
        <f t="shared" si="2"/>
        <v>#N/A</v>
      </c>
      <c r="J33" s="117" t="e">
        <f t="shared" si="3"/>
        <v>#N/A</v>
      </c>
      <c r="K33" s="117" t="e">
        <f t="shared" si="4"/>
        <v>#N/A</v>
      </c>
      <c r="L33" s="109" t="e">
        <f t="shared" si="5"/>
        <v>#N/A</v>
      </c>
      <c r="N33" s="108">
        <v>5.2</v>
      </c>
      <c r="O33" s="108"/>
      <c r="P33" s="108"/>
      <c r="Q33" s="108"/>
      <c r="R33" s="108"/>
      <c r="S33" s="117" t="e">
        <f t="shared" si="6"/>
        <v>#N/A</v>
      </c>
      <c r="T33" s="117" t="e">
        <f t="shared" si="7"/>
        <v>#N/A</v>
      </c>
      <c r="U33" s="117" t="e">
        <f t="shared" si="8"/>
        <v>#N/A</v>
      </c>
      <c r="V33" s="117" t="e">
        <f t="shared" si="9"/>
        <v>#N/A</v>
      </c>
      <c r="W33" s="117" t="e">
        <f t="shared" si="10"/>
        <v>#N/A</v>
      </c>
      <c r="X33" s="109" t="e">
        <f t="shared" si="11"/>
        <v>#N/A</v>
      </c>
    </row>
    <row r="34" spans="2:24" x14ac:dyDescent="0.2">
      <c r="B34" s="104">
        <v>10.5</v>
      </c>
      <c r="C34" s="104"/>
      <c r="D34" s="104"/>
      <c r="E34" s="104"/>
      <c r="F34" s="104"/>
      <c r="G34" s="116" t="e">
        <f t="shared" si="0"/>
        <v>#N/A</v>
      </c>
      <c r="H34" s="116" t="e">
        <f t="shared" si="1"/>
        <v>#N/A</v>
      </c>
      <c r="I34" s="116" t="e">
        <f t="shared" si="2"/>
        <v>#N/A</v>
      </c>
      <c r="J34" s="116" t="e">
        <f t="shared" si="3"/>
        <v>#N/A</v>
      </c>
      <c r="K34" s="116" t="e">
        <f t="shared" si="4"/>
        <v>#N/A</v>
      </c>
      <c r="L34" s="105" t="e">
        <f t="shared" si="5"/>
        <v>#N/A</v>
      </c>
      <c r="N34" s="104">
        <v>5.3</v>
      </c>
      <c r="O34" s="104"/>
      <c r="P34" s="104"/>
      <c r="Q34" s="104"/>
      <c r="R34" s="104"/>
      <c r="S34" s="116" t="e">
        <f t="shared" si="6"/>
        <v>#N/A</v>
      </c>
      <c r="T34" s="116" t="e">
        <f t="shared" si="7"/>
        <v>#N/A</v>
      </c>
      <c r="U34" s="116" t="e">
        <f t="shared" si="8"/>
        <v>#N/A</v>
      </c>
      <c r="V34" s="116" t="e">
        <f t="shared" si="9"/>
        <v>#N/A</v>
      </c>
      <c r="W34" s="116" t="e">
        <f t="shared" si="10"/>
        <v>#N/A</v>
      </c>
      <c r="X34" s="105" t="e">
        <f t="shared" si="11"/>
        <v>#N/A</v>
      </c>
    </row>
    <row r="35" spans="2:24" x14ac:dyDescent="0.2">
      <c r="B35" s="108">
        <v>11.4</v>
      </c>
      <c r="C35" s="108"/>
      <c r="D35" s="108"/>
      <c r="E35" s="108"/>
      <c r="F35" s="108"/>
      <c r="G35" s="117" t="e">
        <f t="shared" si="0"/>
        <v>#N/A</v>
      </c>
      <c r="H35" s="117" t="e">
        <f t="shared" si="1"/>
        <v>#N/A</v>
      </c>
      <c r="I35" s="117" t="e">
        <f t="shared" si="2"/>
        <v>#N/A</v>
      </c>
      <c r="J35" s="117" t="e">
        <f t="shared" si="3"/>
        <v>#N/A</v>
      </c>
      <c r="K35" s="117" t="e">
        <f t="shared" si="4"/>
        <v>#N/A</v>
      </c>
      <c r="L35" s="109" t="e">
        <f t="shared" si="5"/>
        <v>#N/A</v>
      </c>
      <c r="N35" s="108">
        <v>5.4</v>
      </c>
      <c r="O35" s="108"/>
      <c r="P35" s="108"/>
      <c r="Q35" s="108"/>
      <c r="R35" s="108"/>
      <c r="S35" s="117" t="e">
        <f t="shared" si="6"/>
        <v>#N/A</v>
      </c>
      <c r="T35" s="117" t="e">
        <f t="shared" si="7"/>
        <v>#N/A</v>
      </c>
      <c r="U35" s="117" t="e">
        <f t="shared" si="8"/>
        <v>#N/A</v>
      </c>
      <c r="V35" s="117" t="e">
        <f t="shared" si="9"/>
        <v>#N/A</v>
      </c>
      <c r="W35" s="117" t="e">
        <f t="shared" si="10"/>
        <v>#N/A</v>
      </c>
      <c r="X35" s="109" t="e">
        <f t="shared" si="11"/>
        <v>#N/A</v>
      </c>
    </row>
    <row r="36" spans="2:24" x14ac:dyDescent="0.2">
      <c r="B36" s="104">
        <v>12.1</v>
      </c>
      <c r="C36" s="104"/>
      <c r="D36" s="104"/>
      <c r="E36" s="104"/>
      <c r="F36" s="104"/>
      <c r="G36" s="116" t="e">
        <f t="shared" si="0"/>
        <v>#N/A</v>
      </c>
      <c r="H36" s="116" t="e">
        <f t="shared" si="1"/>
        <v>#N/A</v>
      </c>
      <c r="I36" s="116" t="e">
        <f t="shared" si="2"/>
        <v>#N/A</v>
      </c>
      <c r="J36" s="116" t="e">
        <f t="shared" si="3"/>
        <v>#N/A</v>
      </c>
      <c r="K36" s="116" t="e">
        <f t="shared" si="4"/>
        <v>#N/A</v>
      </c>
      <c r="L36" s="105" t="e">
        <f t="shared" si="5"/>
        <v>#N/A</v>
      </c>
      <c r="N36" s="104">
        <v>6.1</v>
      </c>
      <c r="O36" s="104"/>
      <c r="P36" s="104"/>
      <c r="Q36" s="104"/>
      <c r="R36" s="104"/>
      <c r="S36" s="116" t="e">
        <f t="shared" si="6"/>
        <v>#N/A</v>
      </c>
      <c r="T36" s="116" t="e">
        <f t="shared" si="7"/>
        <v>#N/A</v>
      </c>
      <c r="U36" s="116" t="e">
        <f t="shared" si="8"/>
        <v>#N/A</v>
      </c>
      <c r="V36" s="116" t="e">
        <f t="shared" si="9"/>
        <v>#N/A</v>
      </c>
      <c r="W36" s="116" t="e">
        <f t="shared" si="10"/>
        <v>#N/A</v>
      </c>
      <c r="X36" s="105" t="e">
        <f t="shared" si="11"/>
        <v>#N/A</v>
      </c>
    </row>
    <row r="37" spans="2:24" x14ac:dyDescent="0.2">
      <c r="B37" s="108">
        <v>12.4</v>
      </c>
      <c r="C37" s="108"/>
      <c r="D37" s="108"/>
      <c r="E37" s="108"/>
      <c r="F37" s="108"/>
      <c r="G37" s="117" t="e">
        <f t="shared" si="0"/>
        <v>#N/A</v>
      </c>
      <c r="H37" s="117" t="e">
        <f t="shared" si="1"/>
        <v>#N/A</v>
      </c>
      <c r="I37" s="117" t="e">
        <f t="shared" si="2"/>
        <v>#N/A</v>
      </c>
      <c r="J37" s="117" t="e">
        <f t="shared" si="3"/>
        <v>#N/A</v>
      </c>
      <c r="K37" s="117" t="e">
        <f t="shared" si="4"/>
        <v>#N/A</v>
      </c>
      <c r="L37" s="109" t="e">
        <f t="shared" si="5"/>
        <v>#N/A</v>
      </c>
      <c r="N37" s="108">
        <v>6.2</v>
      </c>
      <c r="O37" s="108"/>
      <c r="P37" s="108"/>
      <c r="Q37" s="108"/>
      <c r="R37" s="108"/>
      <c r="S37" s="117" t="e">
        <f t="shared" si="6"/>
        <v>#N/A</v>
      </c>
      <c r="T37" s="117" t="e">
        <f t="shared" si="7"/>
        <v>#N/A</v>
      </c>
      <c r="U37" s="117" t="e">
        <f t="shared" si="8"/>
        <v>#N/A</v>
      </c>
      <c r="V37" s="117" t="e">
        <f t="shared" si="9"/>
        <v>#N/A</v>
      </c>
      <c r="W37" s="117" t="e">
        <f t="shared" si="10"/>
        <v>#N/A</v>
      </c>
      <c r="X37" s="109" t="e">
        <f t="shared" si="11"/>
        <v>#N/A</v>
      </c>
    </row>
    <row r="38" spans="2:24" x14ac:dyDescent="0.2">
      <c r="B38" s="104">
        <v>13.1</v>
      </c>
      <c r="C38" s="104"/>
      <c r="D38" s="104"/>
      <c r="E38" s="104"/>
      <c r="F38" s="104"/>
      <c r="G38" s="116" t="e">
        <f t="shared" si="0"/>
        <v>#N/A</v>
      </c>
      <c r="H38" s="116" t="e">
        <f t="shared" si="1"/>
        <v>#N/A</v>
      </c>
      <c r="I38" s="116" t="e">
        <f t="shared" si="2"/>
        <v>#N/A</v>
      </c>
      <c r="J38" s="116" t="e">
        <f t="shared" si="3"/>
        <v>#N/A</v>
      </c>
      <c r="K38" s="116" t="e">
        <f t="shared" si="4"/>
        <v>#N/A</v>
      </c>
      <c r="L38" s="105" t="e">
        <f t="shared" si="5"/>
        <v>#N/A</v>
      </c>
      <c r="N38" s="104">
        <v>6.3</v>
      </c>
      <c r="O38" s="104"/>
      <c r="P38" s="104"/>
      <c r="Q38" s="104"/>
      <c r="R38" s="104"/>
      <c r="S38" s="116" t="e">
        <f t="shared" si="6"/>
        <v>#N/A</v>
      </c>
      <c r="T38" s="116" t="e">
        <f t="shared" si="7"/>
        <v>#N/A</v>
      </c>
      <c r="U38" s="116" t="e">
        <f t="shared" si="8"/>
        <v>#N/A</v>
      </c>
      <c r="V38" s="116" t="e">
        <f t="shared" si="9"/>
        <v>#N/A</v>
      </c>
      <c r="W38" s="116" t="e">
        <f t="shared" si="10"/>
        <v>#N/A</v>
      </c>
      <c r="X38" s="105" t="e">
        <f t="shared" si="11"/>
        <v>#N/A</v>
      </c>
    </row>
    <row r="39" spans="2:24" x14ac:dyDescent="0.2">
      <c r="B39" s="108">
        <v>13.2</v>
      </c>
      <c r="C39" s="108"/>
      <c r="D39" s="108"/>
      <c r="E39" s="108"/>
      <c r="F39" s="108"/>
      <c r="G39" s="117" t="e">
        <f t="shared" si="0"/>
        <v>#N/A</v>
      </c>
      <c r="H39" s="117" t="e">
        <f t="shared" si="1"/>
        <v>#N/A</v>
      </c>
      <c r="I39" s="117" t="e">
        <f t="shared" si="2"/>
        <v>#N/A</v>
      </c>
      <c r="J39" s="117" t="e">
        <f t="shared" si="3"/>
        <v>#N/A</v>
      </c>
      <c r="K39" s="117" t="e">
        <f t="shared" si="4"/>
        <v>#N/A</v>
      </c>
      <c r="L39" s="109" t="e">
        <f t="shared" si="5"/>
        <v>#N/A</v>
      </c>
      <c r="N39" s="108">
        <v>6.4</v>
      </c>
      <c r="O39" s="108"/>
      <c r="P39" s="108"/>
      <c r="Q39" s="108"/>
      <c r="R39" s="108"/>
      <c r="S39" s="117" t="e">
        <f t="shared" si="6"/>
        <v>#N/A</v>
      </c>
      <c r="T39" s="117" t="e">
        <f t="shared" si="7"/>
        <v>#N/A</v>
      </c>
      <c r="U39" s="117" t="e">
        <f t="shared" si="8"/>
        <v>#N/A</v>
      </c>
      <c r="V39" s="117" t="e">
        <f t="shared" si="9"/>
        <v>#N/A</v>
      </c>
      <c r="W39" s="117" t="e">
        <f t="shared" si="10"/>
        <v>#N/A</v>
      </c>
      <c r="X39" s="109" t="e">
        <f t="shared" si="11"/>
        <v>#N/A</v>
      </c>
    </row>
    <row r="40" spans="2:24" x14ac:dyDescent="0.2">
      <c r="B40" s="104">
        <v>13.6</v>
      </c>
      <c r="C40" s="104"/>
      <c r="D40" s="104"/>
      <c r="E40" s="104"/>
      <c r="F40" s="104"/>
      <c r="G40" s="116" t="e">
        <f t="shared" si="0"/>
        <v>#N/A</v>
      </c>
      <c r="H40" s="116" t="e">
        <f t="shared" si="1"/>
        <v>#N/A</v>
      </c>
      <c r="I40" s="116" t="e">
        <f t="shared" si="2"/>
        <v>#N/A</v>
      </c>
      <c r="J40" s="116" t="e">
        <f t="shared" si="3"/>
        <v>#N/A</v>
      </c>
      <c r="K40" s="116" t="e">
        <f t="shared" si="4"/>
        <v>#N/A</v>
      </c>
      <c r="L40" s="105" t="e">
        <f t="shared" si="5"/>
        <v>#N/A</v>
      </c>
      <c r="N40" s="104">
        <v>6.5</v>
      </c>
      <c r="O40" s="104"/>
      <c r="P40" s="104"/>
      <c r="Q40" s="104"/>
      <c r="R40" s="104"/>
      <c r="S40" s="116" t="e">
        <f t="shared" si="6"/>
        <v>#N/A</v>
      </c>
      <c r="T40" s="116" t="e">
        <f t="shared" si="7"/>
        <v>#N/A</v>
      </c>
      <c r="U40" s="116" t="e">
        <f t="shared" si="8"/>
        <v>#N/A</v>
      </c>
      <c r="V40" s="116" t="e">
        <f t="shared" si="9"/>
        <v>#N/A</v>
      </c>
      <c r="W40" s="116" t="e">
        <f t="shared" si="10"/>
        <v>#N/A</v>
      </c>
      <c r="X40" s="105" t="e">
        <f t="shared" si="11"/>
        <v>#N/A</v>
      </c>
    </row>
    <row r="41" spans="2:24" x14ac:dyDescent="0.2">
      <c r="B41" s="108">
        <v>14.6</v>
      </c>
      <c r="C41" s="108"/>
      <c r="D41" s="108"/>
      <c r="E41" s="108"/>
      <c r="F41" s="108"/>
      <c r="G41" s="117" t="e">
        <f t="shared" si="0"/>
        <v>#N/A</v>
      </c>
      <c r="H41" s="117" t="e">
        <f t="shared" si="1"/>
        <v>#N/A</v>
      </c>
      <c r="I41" s="117" t="e">
        <f t="shared" si="2"/>
        <v>#N/A</v>
      </c>
      <c r="J41" s="117" t="e">
        <f t="shared" si="3"/>
        <v>#N/A</v>
      </c>
      <c r="K41" s="117" t="e">
        <f t="shared" si="4"/>
        <v>#N/A</v>
      </c>
      <c r="L41" s="109" t="e">
        <f t="shared" si="5"/>
        <v>#N/A</v>
      </c>
      <c r="N41" s="108">
        <v>7.1</v>
      </c>
      <c r="O41" s="108"/>
      <c r="P41" s="108"/>
      <c r="Q41" s="108"/>
      <c r="R41" s="108"/>
      <c r="S41" s="117" t="e">
        <f t="shared" si="6"/>
        <v>#N/A</v>
      </c>
      <c r="T41" s="117" t="e">
        <f t="shared" si="7"/>
        <v>#N/A</v>
      </c>
      <c r="U41" s="117" t="e">
        <f t="shared" si="8"/>
        <v>#N/A</v>
      </c>
      <c r="V41" s="117" t="e">
        <f t="shared" si="9"/>
        <v>#N/A</v>
      </c>
      <c r="W41" s="117" t="e">
        <f t="shared" si="10"/>
        <v>#N/A</v>
      </c>
      <c r="X41" s="109" t="e">
        <f t="shared" si="11"/>
        <v>#N/A</v>
      </c>
    </row>
    <row r="42" spans="2:24" x14ac:dyDescent="0.2">
      <c r="B42" s="104">
        <v>15.7</v>
      </c>
      <c r="C42" s="104"/>
      <c r="D42" s="104"/>
      <c r="E42" s="104"/>
      <c r="F42" s="104"/>
      <c r="G42" s="116" t="e">
        <f t="shared" si="0"/>
        <v>#N/A</v>
      </c>
      <c r="H42" s="116" t="e">
        <f t="shared" si="1"/>
        <v>#N/A</v>
      </c>
      <c r="I42" s="116" t="e">
        <f t="shared" si="2"/>
        <v>#N/A</v>
      </c>
      <c r="J42" s="116" t="e">
        <f t="shared" si="3"/>
        <v>#N/A</v>
      </c>
      <c r="K42" s="116" t="e">
        <f t="shared" si="4"/>
        <v>#N/A</v>
      </c>
      <c r="L42" s="105" t="e">
        <f t="shared" si="5"/>
        <v>#N/A</v>
      </c>
      <c r="N42" s="104">
        <v>7.2</v>
      </c>
      <c r="O42" s="104"/>
      <c r="P42" s="104"/>
      <c r="Q42" s="104"/>
      <c r="R42" s="104"/>
      <c r="S42" s="116" t="e">
        <f t="shared" si="6"/>
        <v>#N/A</v>
      </c>
      <c r="T42" s="116" t="e">
        <f t="shared" si="7"/>
        <v>#N/A</v>
      </c>
      <c r="U42" s="116" t="e">
        <f t="shared" si="8"/>
        <v>#N/A</v>
      </c>
      <c r="V42" s="116" t="e">
        <f t="shared" si="9"/>
        <v>#N/A</v>
      </c>
      <c r="W42" s="116" t="e">
        <f t="shared" si="10"/>
        <v>#N/A</v>
      </c>
      <c r="X42" s="105" t="e">
        <f t="shared" si="11"/>
        <v>#N/A</v>
      </c>
    </row>
    <row r="43" spans="2:24" x14ac:dyDescent="0.2">
      <c r="B43" s="111">
        <v>15.1</v>
      </c>
      <c r="C43" s="108"/>
      <c r="D43" s="108"/>
      <c r="E43" s="108"/>
      <c r="F43" s="108"/>
      <c r="G43" s="117" t="e">
        <f t="shared" si="0"/>
        <v>#N/A</v>
      </c>
      <c r="H43" s="117" t="e">
        <f t="shared" si="1"/>
        <v>#N/A</v>
      </c>
      <c r="I43" s="117" t="e">
        <f t="shared" si="2"/>
        <v>#N/A</v>
      </c>
      <c r="J43" s="117" t="e">
        <f t="shared" si="3"/>
        <v>#N/A</v>
      </c>
      <c r="K43" s="117" t="e">
        <f t="shared" si="4"/>
        <v>#N/A</v>
      </c>
      <c r="L43" s="109" t="e">
        <f t="shared" si="5"/>
        <v>#N/A</v>
      </c>
      <c r="N43" s="108">
        <v>7.3</v>
      </c>
      <c r="O43" s="108"/>
      <c r="P43" s="108"/>
      <c r="Q43" s="108"/>
      <c r="R43" s="108"/>
      <c r="S43" s="117" t="e">
        <f t="shared" si="6"/>
        <v>#N/A</v>
      </c>
      <c r="T43" s="117" t="e">
        <f t="shared" si="7"/>
        <v>#N/A</v>
      </c>
      <c r="U43" s="117" t="e">
        <f t="shared" si="8"/>
        <v>#N/A</v>
      </c>
      <c r="V43" s="117" t="e">
        <f t="shared" si="9"/>
        <v>#N/A</v>
      </c>
      <c r="W43" s="117" t="e">
        <f t="shared" si="10"/>
        <v>#N/A</v>
      </c>
      <c r="X43" s="109" t="e">
        <f t="shared" si="11"/>
        <v>#N/A</v>
      </c>
    </row>
    <row r="44" spans="2:24" x14ac:dyDescent="0.2">
      <c r="B44" s="104">
        <v>16.8</v>
      </c>
      <c r="C44" s="104"/>
      <c r="D44" s="104"/>
      <c r="E44" s="104"/>
      <c r="F44" s="104"/>
      <c r="G44" s="116" t="e">
        <f t="shared" si="0"/>
        <v>#N/A</v>
      </c>
      <c r="H44" s="116" t="e">
        <f t="shared" si="1"/>
        <v>#N/A</v>
      </c>
      <c r="I44" s="116" t="e">
        <f t="shared" si="2"/>
        <v>#N/A</v>
      </c>
      <c r="J44" s="116" t="e">
        <f t="shared" si="3"/>
        <v>#N/A</v>
      </c>
      <c r="K44" s="116" t="e">
        <f t="shared" si="4"/>
        <v>#N/A</v>
      </c>
      <c r="L44" s="105" t="e">
        <f t="shared" si="5"/>
        <v>#N/A</v>
      </c>
      <c r="N44" s="104">
        <v>7.4</v>
      </c>
      <c r="O44" s="104"/>
      <c r="P44" s="104"/>
      <c r="Q44" s="104"/>
      <c r="R44" s="104"/>
      <c r="S44" s="116" t="e">
        <f t="shared" si="6"/>
        <v>#N/A</v>
      </c>
      <c r="T44" s="116" t="e">
        <f t="shared" si="7"/>
        <v>#N/A</v>
      </c>
      <c r="U44" s="116" t="e">
        <f t="shared" si="8"/>
        <v>#N/A</v>
      </c>
      <c r="V44" s="116" t="e">
        <f t="shared" si="9"/>
        <v>#N/A</v>
      </c>
      <c r="W44" s="116" t="e">
        <f t="shared" si="10"/>
        <v>#N/A</v>
      </c>
      <c r="X44" s="105" t="e">
        <f t="shared" si="11"/>
        <v>#N/A</v>
      </c>
    </row>
    <row r="45" spans="2:24" x14ac:dyDescent="0.2">
      <c r="B45" s="108">
        <v>16.899999999999999</v>
      </c>
      <c r="C45" s="108"/>
      <c r="D45" s="108"/>
      <c r="E45" s="108"/>
      <c r="F45" s="108"/>
      <c r="G45" s="117" t="e">
        <f t="shared" si="0"/>
        <v>#N/A</v>
      </c>
      <c r="H45" s="117" t="e">
        <f t="shared" si="1"/>
        <v>#N/A</v>
      </c>
      <c r="I45" s="117" t="e">
        <f t="shared" si="2"/>
        <v>#N/A</v>
      </c>
      <c r="J45" s="117" t="e">
        <f t="shared" si="3"/>
        <v>#N/A</v>
      </c>
      <c r="K45" s="117" t="e">
        <f t="shared" si="4"/>
        <v>#N/A</v>
      </c>
      <c r="L45" s="109" t="e">
        <f t="shared" si="5"/>
        <v>#N/A</v>
      </c>
      <c r="N45" s="108">
        <v>8.1</v>
      </c>
      <c r="O45" s="108"/>
      <c r="P45" s="108"/>
      <c r="Q45" s="108"/>
      <c r="R45" s="108"/>
      <c r="S45" s="117" t="e">
        <f t="shared" si="6"/>
        <v>#N/A</v>
      </c>
      <c r="T45" s="117" t="e">
        <f t="shared" si="7"/>
        <v>#N/A</v>
      </c>
      <c r="U45" s="117" t="e">
        <f t="shared" si="8"/>
        <v>#N/A</v>
      </c>
      <c r="V45" s="117" t="e">
        <f t="shared" si="9"/>
        <v>#N/A</v>
      </c>
      <c r="W45" s="117" t="e">
        <f t="shared" si="10"/>
        <v>#N/A</v>
      </c>
      <c r="X45" s="109" t="e">
        <f t="shared" si="11"/>
        <v>#N/A</v>
      </c>
    </row>
    <row r="46" spans="2:24" x14ac:dyDescent="0.2">
      <c r="B46" s="104">
        <v>16.11</v>
      </c>
      <c r="C46" s="104"/>
      <c r="D46" s="104"/>
      <c r="E46" s="104"/>
      <c r="F46" s="104"/>
      <c r="G46" s="116" t="e">
        <f t="shared" si="0"/>
        <v>#N/A</v>
      </c>
      <c r="H46" s="116" t="e">
        <f t="shared" si="1"/>
        <v>#N/A</v>
      </c>
      <c r="I46" s="116" t="e">
        <f t="shared" si="2"/>
        <v>#N/A</v>
      </c>
      <c r="J46" s="116" t="e">
        <f t="shared" si="3"/>
        <v>#N/A</v>
      </c>
      <c r="K46" s="116" t="e">
        <f t="shared" si="4"/>
        <v>#N/A</v>
      </c>
      <c r="L46" s="105" t="e">
        <f t="shared" si="5"/>
        <v>#N/A</v>
      </c>
      <c r="N46" s="104">
        <v>8.1999999999999993</v>
      </c>
      <c r="O46" s="104"/>
      <c r="P46" s="104"/>
      <c r="Q46" s="104"/>
      <c r="R46" s="104"/>
      <c r="S46" s="116" t="e">
        <f t="shared" si="6"/>
        <v>#N/A</v>
      </c>
      <c r="T46" s="116" t="e">
        <f t="shared" si="7"/>
        <v>#N/A</v>
      </c>
      <c r="U46" s="116" t="e">
        <f t="shared" si="8"/>
        <v>#N/A</v>
      </c>
      <c r="V46" s="116" t="e">
        <f t="shared" si="9"/>
        <v>#N/A</v>
      </c>
      <c r="W46" s="116" t="e">
        <f t="shared" si="10"/>
        <v>#N/A</v>
      </c>
      <c r="X46" s="105" t="e">
        <f t="shared" si="11"/>
        <v>#N/A</v>
      </c>
    </row>
    <row r="47" spans="2:24" x14ac:dyDescent="0.2">
      <c r="B47" s="108">
        <v>17.3</v>
      </c>
      <c r="C47" s="108"/>
      <c r="D47" s="108"/>
      <c r="E47" s="108"/>
      <c r="F47" s="108"/>
      <c r="G47" s="117" t="e">
        <f t="shared" si="0"/>
        <v>#N/A</v>
      </c>
      <c r="H47" s="117" t="e">
        <f t="shared" si="1"/>
        <v>#N/A</v>
      </c>
      <c r="I47" s="117" t="e">
        <f t="shared" si="2"/>
        <v>#N/A</v>
      </c>
      <c r="J47" s="117" t="e">
        <f t="shared" si="3"/>
        <v>#N/A</v>
      </c>
      <c r="K47" s="117" t="e">
        <f t="shared" si="4"/>
        <v>#N/A</v>
      </c>
      <c r="L47" s="109" t="e">
        <f t="shared" si="5"/>
        <v>#N/A</v>
      </c>
      <c r="N47" s="108">
        <v>8.3000000000000007</v>
      </c>
      <c r="O47" s="108"/>
      <c r="P47" s="108"/>
      <c r="Q47" s="108"/>
      <c r="R47" s="108"/>
      <c r="S47" s="117" t="e">
        <f t="shared" si="6"/>
        <v>#N/A</v>
      </c>
      <c r="T47" s="117" t="e">
        <f t="shared" si="7"/>
        <v>#N/A</v>
      </c>
      <c r="U47" s="117" t="e">
        <f t="shared" si="8"/>
        <v>#N/A</v>
      </c>
      <c r="V47" s="117" t="e">
        <f t="shared" si="9"/>
        <v>#N/A</v>
      </c>
      <c r="W47" s="117" t="e">
        <f t="shared" si="10"/>
        <v>#N/A</v>
      </c>
      <c r="X47" s="109" t="e">
        <f t="shared" si="11"/>
        <v>#N/A</v>
      </c>
    </row>
    <row r="48" spans="2:24" x14ac:dyDescent="0.2">
      <c r="B48" s="104">
        <v>17.5</v>
      </c>
      <c r="C48" s="104"/>
      <c r="D48" s="104"/>
      <c r="E48" s="104"/>
      <c r="F48" s="104"/>
      <c r="G48" s="116" t="e">
        <f t="shared" si="0"/>
        <v>#N/A</v>
      </c>
      <c r="H48" s="116" t="e">
        <f t="shared" si="1"/>
        <v>#N/A</v>
      </c>
      <c r="I48" s="116" t="e">
        <f t="shared" si="2"/>
        <v>#N/A</v>
      </c>
      <c r="J48" s="116" t="e">
        <f t="shared" si="3"/>
        <v>#N/A</v>
      </c>
      <c r="K48" s="116" t="e">
        <f t="shared" si="4"/>
        <v>#N/A</v>
      </c>
      <c r="L48" s="105" t="e">
        <f t="shared" si="5"/>
        <v>#N/A</v>
      </c>
      <c r="N48" s="104">
        <v>9.1</v>
      </c>
      <c r="O48" s="104"/>
      <c r="P48" s="104"/>
      <c r="Q48" s="104"/>
      <c r="R48" s="104"/>
      <c r="S48" s="116" t="e">
        <f t="shared" si="6"/>
        <v>#N/A</v>
      </c>
      <c r="T48" s="116" t="e">
        <f t="shared" si="7"/>
        <v>#N/A</v>
      </c>
      <c r="U48" s="116" t="e">
        <f t="shared" si="8"/>
        <v>#N/A</v>
      </c>
      <c r="V48" s="116" t="e">
        <f t="shared" si="9"/>
        <v>#N/A</v>
      </c>
      <c r="W48" s="116" t="e">
        <f t="shared" si="10"/>
        <v>#N/A</v>
      </c>
      <c r="X48" s="105" t="e">
        <f t="shared" si="11"/>
        <v>#N/A</v>
      </c>
    </row>
    <row r="49" spans="2:24" x14ac:dyDescent="0.2">
      <c r="B49" s="108">
        <v>17.600000000000001</v>
      </c>
      <c r="C49" s="108"/>
      <c r="D49" s="108"/>
      <c r="E49" s="108"/>
      <c r="F49" s="108"/>
      <c r="G49" s="117" t="e">
        <f t="shared" si="0"/>
        <v>#N/A</v>
      </c>
      <c r="H49" s="117" t="e">
        <f t="shared" si="1"/>
        <v>#N/A</v>
      </c>
      <c r="I49" s="117" t="e">
        <f t="shared" si="2"/>
        <v>#N/A</v>
      </c>
      <c r="J49" s="117" t="e">
        <f t="shared" si="3"/>
        <v>#N/A</v>
      </c>
      <c r="K49" s="117" t="e">
        <f t="shared" si="4"/>
        <v>#N/A</v>
      </c>
      <c r="L49" s="109" t="e">
        <f t="shared" si="5"/>
        <v>#N/A</v>
      </c>
      <c r="N49" s="108">
        <v>9.1999999999999993</v>
      </c>
      <c r="O49" s="108"/>
      <c r="P49" s="108"/>
      <c r="Q49" s="108"/>
      <c r="R49" s="108"/>
      <c r="S49" s="117" t="e">
        <f t="shared" si="6"/>
        <v>#N/A</v>
      </c>
      <c r="T49" s="117" t="e">
        <f t="shared" si="7"/>
        <v>#N/A</v>
      </c>
      <c r="U49" s="117" t="e">
        <f t="shared" si="8"/>
        <v>#N/A</v>
      </c>
      <c r="V49" s="117" t="e">
        <f t="shared" si="9"/>
        <v>#N/A</v>
      </c>
      <c r="W49" s="117" t="e">
        <f t="shared" si="10"/>
        <v>#N/A</v>
      </c>
      <c r="X49" s="109" t="e">
        <f t="shared" si="11"/>
        <v>#N/A</v>
      </c>
    </row>
    <row r="50" spans="2:24" x14ac:dyDescent="0.2">
      <c r="B50" s="104">
        <v>17.7</v>
      </c>
      <c r="C50" s="104"/>
      <c r="D50" s="104"/>
      <c r="E50" s="104"/>
      <c r="F50" s="104"/>
      <c r="G50" s="116" t="e">
        <f t="shared" si="0"/>
        <v>#N/A</v>
      </c>
      <c r="H50" s="116" t="e">
        <f t="shared" si="1"/>
        <v>#N/A</v>
      </c>
      <c r="I50" s="116" t="e">
        <f t="shared" si="2"/>
        <v>#N/A</v>
      </c>
      <c r="J50" s="116" t="e">
        <f t="shared" si="3"/>
        <v>#N/A</v>
      </c>
      <c r="K50" s="116" t="e">
        <f t="shared" si="4"/>
        <v>#N/A</v>
      </c>
      <c r="L50" s="105" t="e">
        <f t="shared" si="5"/>
        <v>#N/A</v>
      </c>
      <c r="N50" s="104">
        <v>10.1</v>
      </c>
      <c r="O50" s="104"/>
      <c r="P50" s="104"/>
      <c r="Q50" s="104"/>
      <c r="R50" s="104"/>
      <c r="S50" s="116" t="e">
        <f t="shared" si="6"/>
        <v>#N/A</v>
      </c>
      <c r="T50" s="116" t="e">
        <f t="shared" si="7"/>
        <v>#N/A</v>
      </c>
      <c r="U50" s="116" t="e">
        <f t="shared" si="8"/>
        <v>#N/A</v>
      </c>
      <c r="V50" s="116" t="e">
        <f t="shared" si="9"/>
        <v>#N/A</v>
      </c>
      <c r="W50" s="116" t="e">
        <f t="shared" si="10"/>
        <v>#N/A</v>
      </c>
      <c r="X50" s="105" t="e">
        <f t="shared" si="11"/>
        <v>#N/A</v>
      </c>
    </row>
    <row r="51" spans="2:24" x14ac:dyDescent="0.2">
      <c r="B51" s="108">
        <v>17.8</v>
      </c>
      <c r="C51" s="108"/>
      <c r="D51" s="108"/>
      <c r="E51" s="108"/>
      <c r="F51" s="108"/>
      <c r="G51" s="117" t="e">
        <f t="shared" si="0"/>
        <v>#N/A</v>
      </c>
      <c r="H51" s="117" t="e">
        <f t="shared" si="1"/>
        <v>#N/A</v>
      </c>
      <c r="I51" s="117" t="e">
        <f t="shared" si="2"/>
        <v>#N/A</v>
      </c>
      <c r="J51" s="117" t="e">
        <f t="shared" si="3"/>
        <v>#N/A</v>
      </c>
      <c r="K51" s="117" t="e">
        <f t="shared" si="4"/>
        <v>#N/A</v>
      </c>
      <c r="L51" s="109" t="e">
        <f t="shared" si="5"/>
        <v>#N/A</v>
      </c>
      <c r="N51" s="108">
        <v>10.199999999999999</v>
      </c>
      <c r="O51" s="108"/>
      <c r="P51" s="108"/>
      <c r="Q51" s="108"/>
      <c r="R51" s="108"/>
      <c r="S51" s="117" t="e">
        <f t="shared" si="6"/>
        <v>#N/A</v>
      </c>
      <c r="T51" s="117" t="e">
        <f t="shared" si="7"/>
        <v>#N/A</v>
      </c>
      <c r="U51" s="117" t="e">
        <f t="shared" si="8"/>
        <v>#N/A</v>
      </c>
      <c r="V51" s="117" t="e">
        <f t="shared" si="9"/>
        <v>#N/A</v>
      </c>
      <c r="W51" s="117" t="e">
        <f t="shared" si="10"/>
        <v>#N/A</v>
      </c>
      <c r="X51" s="109" t="e">
        <f t="shared" si="11"/>
        <v>#N/A</v>
      </c>
    </row>
    <row r="52" spans="2:24" x14ac:dyDescent="0.2">
      <c r="B52" s="104">
        <v>17.899999999999999</v>
      </c>
      <c r="C52" s="104"/>
      <c r="D52" s="104"/>
      <c r="E52" s="104"/>
      <c r="F52" s="104"/>
      <c r="G52" s="116" t="e">
        <f t="shared" si="0"/>
        <v>#N/A</v>
      </c>
      <c r="H52" s="116" t="e">
        <f t="shared" si="1"/>
        <v>#N/A</v>
      </c>
      <c r="I52" s="116" t="e">
        <f t="shared" si="2"/>
        <v>#N/A</v>
      </c>
      <c r="J52" s="116" t="e">
        <f t="shared" si="3"/>
        <v>#N/A</v>
      </c>
      <c r="K52" s="116" t="e">
        <f t="shared" si="4"/>
        <v>#N/A</v>
      </c>
      <c r="L52" s="105" t="e">
        <f t="shared" si="5"/>
        <v>#N/A</v>
      </c>
      <c r="N52" s="104">
        <v>10.3</v>
      </c>
      <c r="O52" s="104"/>
      <c r="P52" s="104"/>
      <c r="Q52" s="104"/>
      <c r="R52" s="104"/>
      <c r="S52" s="116" t="e">
        <f t="shared" si="6"/>
        <v>#N/A</v>
      </c>
      <c r="T52" s="116" t="e">
        <f t="shared" si="7"/>
        <v>#N/A</v>
      </c>
      <c r="U52" s="116" t="e">
        <f t="shared" si="8"/>
        <v>#N/A</v>
      </c>
      <c r="V52" s="116" t="e">
        <f t="shared" si="9"/>
        <v>#N/A</v>
      </c>
      <c r="W52" s="116" t="e">
        <f t="shared" si="10"/>
        <v>#N/A</v>
      </c>
      <c r="X52" s="105" t="e">
        <f t="shared" si="11"/>
        <v>#N/A</v>
      </c>
    </row>
    <row r="53" spans="2:24" x14ac:dyDescent="0.2">
      <c r="B53" s="108">
        <v>19.100000000000001</v>
      </c>
      <c r="C53" s="108"/>
      <c r="D53" s="108"/>
      <c r="E53" s="108"/>
      <c r="F53" s="108"/>
      <c r="G53" s="117" t="e">
        <f t="shared" si="0"/>
        <v>#N/A</v>
      </c>
      <c r="H53" s="117" t="e">
        <f t="shared" si="1"/>
        <v>#N/A</v>
      </c>
      <c r="I53" s="117" t="e">
        <f t="shared" si="2"/>
        <v>#N/A</v>
      </c>
      <c r="J53" s="117" t="e">
        <f t="shared" si="3"/>
        <v>#N/A</v>
      </c>
      <c r="K53" s="117" t="e">
        <f t="shared" si="4"/>
        <v>#N/A</v>
      </c>
      <c r="L53" s="109" t="e">
        <f t="shared" si="5"/>
        <v>#N/A</v>
      </c>
      <c r="N53" s="108">
        <v>11.1</v>
      </c>
      <c r="O53" s="108"/>
      <c r="P53" s="108"/>
      <c r="Q53" s="108"/>
      <c r="R53" s="108"/>
      <c r="S53" s="117" t="e">
        <f t="shared" si="6"/>
        <v>#N/A</v>
      </c>
      <c r="T53" s="117" t="e">
        <f t="shared" si="7"/>
        <v>#N/A</v>
      </c>
      <c r="U53" s="117" t="e">
        <f t="shared" si="8"/>
        <v>#N/A</v>
      </c>
      <c r="V53" s="117" t="e">
        <f t="shared" si="9"/>
        <v>#N/A</v>
      </c>
      <c r="W53" s="117" t="e">
        <f t="shared" si="10"/>
        <v>#N/A</v>
      </c>
      <c r="X53" s="109" t="e">
        <f t="shared" si="11"/>
        <v>#N/A</v>
      </c>
    </row>
    <row r="54" spans="2:24" x14ac:dyDescent="0.2">
      <c r="B54" s="104">
        <v>19.3</v>
      </c>
      <c r="C54" s="104"/>
      <c r="D54" s="104"/>
      <c r="E54" s="104"/>
      <c r="F54" s="104"/>
      <c r="G54" s="116" t="e">
        <f t="shared" si="0"/>
        <v>#N/A</v>
      </c>
      <c r="H54" s="116" t="e">
        <f t="shared" si="1"/>
        <v>#N/A</v>
      </c>
      <c r="I54" s="116" t="e">
        <f t="shared" si="2"/>
        <v>#N/A</v>
      </c>
      <c r="J54" s="116" t="e">
        <f t="shared" si="3"/>
        <v>#N/A</v>
      </c>
      <c r="K54" s="116" t="e">
        <f t="shared" si="4"/>
        <v>#N/A</v>
      </c>
      <c r="L54" s="105" t="e">
        <f t="shared" si="5"/>
        <v>#N/A</v>
      </c>
      <c r="N54" s="104">
        <v>11.2</v>
      </c>
      <c r="O54" s="104"/>
      <c r="P54" s="104"/>
      <c r="Q54" s="104"/>
      <c r="R54" s="104"/>
      <c r="S54" s="116" t="e">
        <f t="shared" si="6"/>
        <v>#N/A</v>
      </c>
      <c r="T54" s="116" t="e">
        <f t="shared" si="7"/>
        <v>#N/A</v>
      </c>
      <c r="U54" s="116" t="e">
        <f t="shared" si="8"/>
        <v>#N/A</v>
      </c>
      <c r="V54" s="116" t="e">
        <f t="shared" si="9"/>
        <v>#N/A</v>
      </c>
      <c r="W54" s="116" t="e">
        <f t="shared" si="10"/>
        <v>#N/A</v>
      </c>
      <c r="X54" s="105" t="e">
        <f t="shared" si="11"/>
        <v>#N/A</v>
      </c>
    </row>
    <row r="55" spans="2:24" x14ac:dyDescent="0.2">
      <c r="B55" s="108">
        <v>19.5</v>
      </c>
      <c r="C55" s="108"/>
      <c r="D55" s="108"/>
      <c r="E55" s="108"/>
      <c r="F55" s="108"/>
      <c r="G55" s="117" t="e">
        <f t="shared" si="0"/>
        <v>#N/A</v>
      </c>
      <c r="H55" s="117" t="e">
        <f t="shared" si="1"/>
        <v>#N/A</v>
      </c>
      <c r="I55" s="117" t="e">
        <f t="shared" si="2"/>
        <v>#N/A</v>
      </c>
      <c r="J55" s="117" t="e">
        <f t="shared" si="3"/>
        <v>#N/A</v>
      </c>
      <c r="K55" s="117" t="e">
        <f t="shared" si="4"/>
        <v>#N/A</v>
      </c>
      <c r="L55" s="109" t="e">
        <f t="shared" si="5"/>
        <v>#N/A</v>
      </c>
      <c r="N55" s="108">
        <v>11.3</v>
      </c>
      <c r="O55" s="108"/>
      <c r="P55" s="108"/>
      <c r="Q55" s="108"/>
      <c r="R55" s="108"/>
      <c r="S55" s="117" t="e">
        <f t="shared" si="6"/>
        <v>#N/A</v>
      </c>
      <c r="T55" s="117" t="e">
        <f t="shared" si="7"/>
        <v>#N/A</v>
      </c>
      <c r="U55" s="117" t="e">
        <f t="shared" si="8"/>
        <v>#N/A</v>
      </c>
      <c r="V55" s="117" t="e">
        <f t="shared" si="9"/>
        <v>#N/A</v>
      </c>
      <c r="W55" s="117" t="e">
        <f t="shared" si="10"/>
        <v>#N/A</v>
      </c>
      <c r="X55" s="109" t="e">
        <f t="shared" si="11"/>
        <v>#N/A</v>
      </c>
    </row>
    <row r="56" spans="2:24" ht="13.5" thickBot="1" x14ac:dyDescent="0.25">
      <c r="B56" s="112">
        <v>19.600000000000001</v>
      </c>
      <c r="C56" s="112"/>
      <c r="D56" s="112"/>
      <c r="E56" s="112"/>
      <c r="F56" s="112"/>
      <c r="G56" s="118" t="e">
        <f t="shared" si="0"/>
        <v>#N/A</v>
      </c>
      <c r="H56" s="118" t="e">
        <f t="shared" si="1"/>
        <v>#N/A</v>
      </c>
      <c r="I56" s="118" t="e">
        <f t="shared" si="2"/>
        <v>#N/A</v>
      </c>
      <c r="J56" s="118" t="e">
        <f t="shared" si="3"/>
        <v>#N/A</v>
      </c>
      <c r="K56" s="118" t="e">
        <f t="shared" si="4"/>
        <v>#N/A</v>
      </c>
      <c r="L56" s="113" t="e">
        <f t="shared" si="5"/>
        <v>#N/A</v>
      </c>
      <c r="N56" s="104">
        <v>11.4</v>
      </c>
      <c r="O56" s="104"/>
      <c r="P56" s="104"/>
      <c r="Q56" s="104"/>
      <c r="R56" s="104"/>
      <c r="S56" s="116" t="e">
        <f t="shared" si="6"/>
        <v>#N/A</v>
      </c>
      <c r="T56" s="116" t="e">
        <f t="shared" si="7"/>
        <v>#N/A</v>
      </c>
      <c r="U56" s="116" t="e">
        <f t="shared" si="8"/>
        <v>#N/A</v>
      </c>
      <c r="V56" s="116" t="e">
        <f t="shared" si="9"/>
        <v>#N/A</v>
      </c>
      <c r="W56" s="116" t="e">
        <f t="shared" si="10"/>
        <v>#N/A</v>
      </c>
      <c r="X56" s="105" t="e">
        <f t="shared" si="11"/>
        <v>#N/A</v>
      </c>
    </row>
    <row r="57" spans="2:24" x14ac:dyDescent="0.2">
      <c r="N57" s="108">
        <v>12.1</v>
      </c>
      <c r="O57" s="108"/>
      <c r="P57" s="108"/>
      <c r="Q57" s="108"/>
      <c r="R57" s="108"/>
      <c r="S57" s="117" t="e">
        <f t="shared" si="6"/>
        <v>#N/A</v>
      </c>
      <c r="T57" s="117" t="e">
        <f t="shared" si="7"/>
        <v>#N/A</v>
      </c>
      <c r="U57" s="117" t="e">
        <f t="shared" si="8"/>
        <v>#N/A</v>
      </c>
      <c r="V57" s="117" t="e">
        <f t="shared" si="9"/>
        <v>#N/A</v>
      </c>
      <c r="W57" s="117" t="e">
        <f t="shared" si="10"/>
        <v>#N/A</v>
      </c>
      <c r="X57" s="109" t="e">
        <f t="shared" si="11"/>
        <v>#N/A</v>
      </c>
    </row>
    <row r="58" spans="2:24" x14ac:dyDescent="0.2">
      <c r="N58" s="104">
        <v>14.1</v>
      </c>
      <c r="O58" s="104"/>
      <c r="P58" s="104"/>
      <c r="Q58" s="104"/>
      <c r="R58" s="104"/>
      <c r="S58" s="116" t="e">
        <f t="shared" si="6"/>
        <v>#N/A</v>
      </c>
      <c r="T58" s="116" t="e">
        <f t="shared" si="7"/>
        <v>#N/A</v>
      </c>
      <c r="U58" s="116" t="e">
        <f t="shared" si="8"/>
        <v>#N/A</v>
      </c>
      <c r="V58" s="116" t="e">
        <f t="shared" si="9"/>
        <v>#N/A</v>
      </c>
      <c r="W58" s="116" t="e">
        <f t="shared" si="10"/>
        <v>#N/A</v>
      </c>
      <c r="X58" s="105" t="e">
        <f t="shared" si="11"/>
        <v>#N/A</v>
      </c>
    </row>
    <row r="59" spans="2:24" x14ac:dyDescent="0.2">
      <c r="N59" s="108">
        <v>14.2</v>
      </c>
      <c r="O59" s="108"/>
      <c r="P59" s="108"/>
      <c r="Q59" s="108"/>
      <c r="R59" s="108"/>
      <c r="S59" s="117" t="e">
        <f t="shared" si="6"/>
        <v>#N/A</v>
      </c>
      <c r="T59" s="117" t="e">
        <f t="shared" si="7"/>
        <v>#N/A</v>
      </c>
      <c r="U59" s="117" t="e">
        <f t="shared" si="8"/>
        <v>#N/A</v>
      </c>
      <c r="V59" s="117" t="e">
        <f t="shared" si="9"/>
        <v>#N/A</v>
      </c>
      <c r="W59" s="117" t="e">
        <f t="shared" si="10"/>
        <v>#N/A</v>
      </c>
      <c r="X59" s="109" t="e">
        <f t="shared" si="11"/>
        <v>#N/A</v>
      </c>
    </row>
    <row r="60" spans="2:24" x14ac:dyDescent="0.2">
      <c r="N60" s="104">
        <v>14.3</v>
      </c>
      <c r="O60" s="104"/>
      <c r="P60" s="104"/>
      <c r="Q60" s="104"/>
      <c r="R60" s="104"/>
      <c r="S60" s="116" t="e">
        <f t="shared" si="6"/>
        <v>#N/A</v>
      </c>
      <c r="T60" s="116" t="e">
        <f t="shared" si="7"/>
        <v>#N/A</v>
      </c>
      <c r="U60" s="116" t="e">
        <f t="shared" si="8"/>
        <v>#N/A</v>
      </c>
      <c r="V60" s="116" t="e">
        <f t="shared" si="9"/>
        <v>#N/A</v>
      </c>
      <c r="W60" s="116" t="e">
        <f t="shared" si="10"/>
        <v>#N/A</v>
      </c>
      <c r="X60" s="105" t="e">
        <f t="shared" si="11"/>
        <v>#N/A</v>
      </c>
    </row>
    <row r="61" spans="2:24" x14ac:dyDescent="0.2">
      <c r="N61" s="108">
        <v>14.4</v>
      </c>
      <c r="O61" s="108"/>
      <c r="P61" s="108"/>
      <c r="Q61" s="108"/>
      <c r="R61" s="108"/>
      <c r="S61" s="117" t="e">
        <f t="shared" si="6"/>
        <v>#N/A</v>
      </c>
      <c r="T61" s="117" t="e">
        <f t="shared" si="7"/>
        <v>#N/A</v>
      </c>
      <c r="U61" s="117" t="e">
        <f t="shared" si="8"/>
        <v>#N/A</v>
      </c>
      <c r="V61" s="117" t="e">
        <f t="shared" si="9"/>
        <v>#N/A</v>
      </c>
      <c r="W61" s="117" t="e">
        <f t="shared" si="10"/>
        <v>#N/A</v>
      </c>
      <c r="X61" s="109" t="e">
        <f t="shared" si="11"/>
        <v>#N/A</v>
      </c>
    </row>
    <row r="62" spans="2:24" x14ac:dyDescent="0.2">
      <c r="N62" s="104">
        <v>14.5</v>
      </c>
      <c r="O62" s="104"/>
      <c r="P62" s="104"/>
      <c r="Q62" s="104"/>
      <c r="R62" s="104"/>
      <c r="S62" s="116" t="e">
        <f t="shared" si="6"/>
        <v>#N/A</v>
      </c>
      <c r="T62" s="116" t="e">
        <f t="shared" si="7"/>
        <v>#N/A</v>
      </c>
      <c r="U62" s="116" t="e">
        <f t="shared" si="8"/>
        <v>#N/A</v>
      </c>
      <c r="V62" s="116" t="e">
        <f t="shared" si="9"/>
        <v>#N/A</v>
      </c>
      <c r="W62" s="116" t="e">
        <f t="shared" si="10"/>
        <v>#N/A</v>
      </c>
      <c r="X62" s="105" t="e">
        <f t="shared" si="11"/>
        <v>#N/A</v>
      </c>
    </row>
    <row r="63" spans="2:24" x14ac:dyDescent="0.2">
      <c r="N63" s="108">
        <v>14.6</v>
      </c>
      <c r="O63" s="108"/>
      <c r="P63" s="108"/>
      <c r="Q63" s="108"/>
      <c r="R63" s="108"/>
      <c r="S63" s="117" t="e">
        <f t="shared" si="6"/>
        <v>#N/A</v>
      </c>
      <c r="T63" s="117" t="e">
        <f t="shared" si="7"/>
        <v>#N/A</v>
      </c>
      <c r="U63" s="117" t="e">
        <f t="shared" si="8"/>
        <v>#N/A</v>
      </c>
      <c r="V63" s="117" t="e">
        <f t="shared" si="9"/>
        <v>#N/A</v>
      </c>
      <c r="W63" s="117" t="e">
        <f t="shared" si="10"/>
        <v>#N/A</v>
      </c>
      <c r="X63" s="109" t="e">
        <f t="shared" si="11"/>
        <v>#N/A</v>
      </c>
    </row>
    <row r="64" spans="2:24" x14ac:dyDescent="0.2">
      <c r="N64" s="104">
        <v>14.7</v>
      </c>
      <c r="O64" s="104"/>
      <c r="P64" s="104"/>
      <c r="Q64" s="104"/>
      <c r="R64" s="104"/>
      <c r="S64" s="116" t="e">
        <f t="shared" si="6"/>
        <v>#N/A</v>
      </c>
      <c r="T64" s="116" t="e">
        <f t="shared" si="7"/>
        <v>#N/A</v>
      </c>
      <c r="U64" s="116" t="e">
        <f t="shared" si="8"/>
        <v>#N/A</v>
      </c>
      <c r="V64" s="116" t="e">
        <f t="shared" si="9"/>
        <v>#N/A</v>
      </c>
      <c r="W64" s="116" t="e">
        <f t="shared" si="10"/>
        <v>#N/A</v>
      </c>
      <c r="X64" s="105" t="e">
        <f t="shared" si="11"/>
        <v>#N/A</v>
      </c>
    </row>
    <row r="65" spans="14:24" x14ac:dyDescent="0.2">
      <c r="N65" s="108">
        <v>14.8</v>
      </c>
      <c r="O65" s="108"/>
      <c r="P65" s="108"/>
      <c r="Q65" s="108"/>
      <c r="R65" s="108"/>
      <c r="S65" s="117" t="e">
        <f t="shared" si="6"/>
        <v>#N/A</v>
      </c>
      <c r="T65" s="117" t="e">
        <f t="shared" si="7"/>
        <v>#N/A</v>
      </c>
      <c r="U65" s="117" t="e">
        <f t="shared" si="8"/>
        <v>#N/A</v>
      </c>
      <c r="V65" s="117" t="e">
        <f t="shared" si="9"/>
        <v>#N/A</v>
      </c>
      <c r="W65" s="117" t="e">
        <f t="shared" si="10"/>
        <v>#N/A</v>
      </c>
      <c r="X65" s="109" t="e">
        <f t="shared" si="11"/>
        <v>#N/A</v>
      </c>
    </row>
    <row r="66" spans="14:24" x14ac:dyDescent="0.2">
      <c r="N66" s="104">
        <v>15.1</v>
      </c>
      <c r="O66" s="104"/>
      <c r="P66" s="104"/>
      <c r="Q66" s="104"/>
      <c r="R66" s="104"/>
      <c r="S66" s="116" t="e">
        <f t="shared" si="6"/>
        <v>#N/A</v>
      </c>
      <c r="T66" s="116" t="e">
        <f t="shared" si="7"/>
        <v>#N/A</v>
      </c>
      <c r="U66" s="116" t="e">
        <f t="shared" si="8"/>
        <v>#N/A</v>
      </c>
      <c r="V66" s="116" t="e">
        <f t="shared" si="9"/>
        <v>#N/A</v>
      </c>
      <c r="W66" s="116" t="e">
        <f t="shared" si="10"/>
        <v>#N/A</v>
      </c>
      <c r="X66" s="105" t="e">
        <f t="shared" si="11"/>
        <v>#N/A</v>
      </c>
    </row>
    <row r="67" spans="14:24" x14ac:dyDescent="0.2">
      <c r="N67" s="108">
        <v>17.100000000000001</v>
      </c>
      <c r="O67" s="108"/>
      <c r="P67" s="108"/>
      <c r="Q67" s="108"/>
      <c r="R67" s="108"/>
      <c r="S67" s="117" t="e">
        <f t="shared" si="6"/>
        <v>#N/A</v>
      </c>
      <c r="T67" s="117" t="e">
        <f t="shared" si="7"/>
        <v>#N/A</v>
      </c>
      <c r="U67" s="117" t="e">
        <f t="shared" si="8"/>
        <v>#N/A</v>
      </c>
      <c r="V67" s="117" t="e">
        <f t="shared" si="9"/>
        <v>#N/A</v>
      </c>
      <c r="W67" s="117" t="e">
        <f t="shared" si="10"/>
        <v>#N/A</v>
      </c>
      <c r="X67" s="109" t="e">
        <f t="shared" si="11"/>
        <v>#N/A</v>
      </c>
    </row>
    <row r="68" spans="14:24" x14ac:dyDescent="0.2">
      <c r="N68" s="104">
        <v>17.2</v>
      </c>
      <c r="O68" s="104"/>
      <c r="P68" s="104"/>
      <c r="Q68" s="104"/>
      <c r="R68" s="104"/>
      <c r="S68" s="116" t="e">
        <f t="shared" si="6"/>
        <v>#N/A</v>
      </c>
      <c r="T68" s="116" t="e">
        <f t="shared" si="7"/>
        <v>#N/A</v>
      </c>
      <c r="U68" s="116" t="e">
        <f t="shared" si="8"/>
        <v>#N/A</v>
      </c>
      <c r="V68" s="116" t="e">
        <f t="shared" si="9"/>
        <v>#N/A</v>
      </c>
      <c r="W68" s="116" t="e">
        <f t="shared" si="10"/>
        <v>#N/A</v>
      </c>
      <c r="X68" s="105" t="e">
        <f t="shared" si="11"/>
        <v>#N/A</v>
      </c>
    </row>
    <row r="69" spans="14:24" ht="13.5" thickBot="1" x14ac:dyDescent="0.25">
      <c r="N69" s="114">
        <v>17.3</v>
      </c>
      <c r="O69" s="114"/>
      <c r="P69" s="114"/>
      <c r="Q69" s="114"/>
      <c r="R69" s="114"/>
      <c r="S69" s="120" t="e">
        <f t="shared" si="6"/>
        <v>#N/A</v>
      </c>
      <c r="T69" s="120" t="e">
        <f t="shared" si="7"/>
        <v>#N/A</v>
      </c>
      <c r="U69" s="120" t="e">
        <f t="shared" si="8"/>
        <v>#N/A</v>
      </c>
      <c r="V69" s="120" t="e">
        <f t="shared" si="9"/>
        <v>#N/A</v>
      </c>
      <c r="W69" s="120" t="e">
        <f t="shared" si="10"/>
        <v>#N/A</v>
      </c>
      <c r="X69" s="115" t="e">
        <f t="shared" si="11"/>
        <v>#N/A</v>
      </c>
    </row>
  </sheetData>
  <sheetProtection sheet="1" objects="1" scenarios="1"/>
  <mergeCells count="10">
    <mergeCell ref="AB1:AC1"/>
    <mergeCell ref="L12:L13"/>
    <mergeCell ref="X12:X13"/>
    <mergeCell ref="K12:K13"/>
    <mergeCell ref="C12:F12"/>
    <mergeCell ref="G12:J12"/>
    <mergeCell ref="O12:R12"/>
    <mergeCell ref="S12:V12"/>
    <mergeCell ref="W12:W13"/>
    <mergeCell ref="B1:X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z K K x U o 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M y i s 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M o r F S K I p H u A 4 A A A A R A A A A E w A c A E Z v c m 1 1 b G F z L 1 N l Y 3 R p b 2 4 x L m 0 g o h g A K K A U A A A A A A A A A A A A A A A A A A A A A A A A A A A A K 0 5 N L s n M z 1 M I h t C G 1 g B Q S w E C L Q A U A A I A C A D M o r F S j Q a H k K I A A A D 1 A A A A E g A A A A A A A A A A A A A A A A A A A A A A Q 2 9 u Z m l n L 1 B h Y 2 t h Z 2 U u e G 1 s U E s B A i 0 A F A A C A A g A z K K x U g / K 6 a u k A A A A 6 Q A A A B M A A A A A A A A A A A A A A A A A 7 g A A A F t D b 2 5 0 Z W 5 0 X 1 R 5 c G V z X S 5 4 b W x Q S w E C L Q A U A A I A C A D M o r F 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Z 8 g c q M 9 X E i p l U O 3 7 R 9 g x Q A A A A A C A A A A A A A D Z g A A w A A A A B A A A A A H i 9 w m O f Z 6 L f 7 X L g 6 v L 5 + F A A A A A A S A A A C g A A A A E A A A A F J v l B D T z 5 P Z 8 D j w b h P o B A 9 Q A A A A I o g J A Q V 3 1 3 Z t 6 / 7 T c e N P k L M h r + J M R Q w h x s L Z y k 6 g a d g 4 N n K Q a d l T j R 5 P Q V A 9 P v C 2 W F j + 2 J 7 I I Z q O 4 L H T 7 K f 9 6 W p X m + 8 H c Q g W 8 m v 7 4 D U + j P 4 U A A A A D 4 F M V z y z W 5 R h F e 4 I Y L G W N g X z 0 f 0 = < / D a t a M a s h u p > 
</file>

<file path=customXml/itemProps1.xml><?xml version="1.0" encoding="utf-8"?>
<ds:datastoreItem xmlns:ds="http://schemas.openxmlformats.org/officeDocument/2006/customXml" ds:itemID="{76807C70-5236-41F0-9881-3A6C1B85CFB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Cover</vt:lpstr>
      <vt:lpstr>Read_Me</vt:lpstr>
      <vt:lpstr>CIS Controls Resources</vt:lpstr>
      <vt:lpstr>Risk Register Controls v7.1-IG1</vt:lpstr>
      <vt:lpstr>Risk Register Controls v8 - IG1</vt:lpstr>
      <vt:lpstr>Legend</vt:lpstr>
      <vt:lpstr>Lookup Tables</vt:lpstr>
      <vt:lpstr>CIS CSAT Pro</vt:lpstr>
      <vt:lpstr>CIS-Hosted CSAT</vt:lpstr>
      <vt:lpstr>Risk Register 7.1 - EXAMPLE</vt:lpstr>
      <vt:lpstr>CIS CSAT Pro - EXAMPLE</vt:lpstr>
      <vt:lpstr>CIS-Hosted CSAT - EXAMPLE</vt:lpstr>
      <vt:lpstr>'CIS CSAT Pro'!_Hlk82606169</vt:lpstr>
      <vt:lpstr>'Risk Register 7.1 - EXAMPLE'!Asset_Class</vt:lpstr>
      <vt:lpstr>'Risk Register Controls v7.1-IG1'!Asset_Class</vt:lpstr>
      <vt:lpstr>'Risk Register Controls v8 - IG1'!Asset_Class</vt:lpstr>
      <vt:lpstr>'Risk Register 7.1 - EXAMPLE'!Industry</vt:lpstr>
      <vt:lpstr>'Risk Register Controls v8 - IG1'!Industry</vt:lpstr>
      <vt:lpstr>Industry</vt:lpstr>
      <vt:lpstr>'CIS CSAT Pro'!Industry_2</vt:lpstr>
      <vt:lpstr>'CIS-Hosted CSAT - EXAMPLE'!Industry_2</vt:lpstr>
      <vt:lpstr>Industry_2</vt:lpstr>
      <vt:lpstr>'Risk Register 7.1 - EXAMPLE'!Maturity_Score</vt:lpstr>
      <vt:lpstr>'Risk Register Controls v8 - IG1'!Maturity_Score</vt:lpstr>
      <vt:lpstr>Maturity_Score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Cronin</dc:creator>
  <cp:lastModifiedBy>Danielle Koonce</cp:lastModifiedBy>
  <dcterms:created xsi:type="dcterms:W3CDTF">2019-10-25T13:04:24Z</dcterms:created>
  <dcterms:modified xsi:type="dcterms:W3CDTF">2022-05-18T13:11:29Z</dcterms:modified>
</cp:coreProperties>
</file>